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ohnepattison/Downloads/"/>
    </mc:Choice>
  </mc:AlternateContent>
  <xr:revisionPtr revIDLastSave="0" documentId="8_{4C07DD24-4C77-9048-BB44-4F429CC4CBDD}" xr6:coauthVersionLast="36" xr6:coauthVersionMax="36" xr10:uidLastSave="{00000000-0000-0000-0000-000000000000}"/>
  <bookViews>
    <workbookView xWindow="0" yWindow="460" windowWidth="22840" windowHeight="12900" xr2:uid="{00000000-000D-0000-FFFF-FFFF00000000}"/>
  </bookViews>
  <sheets>
    <sheet name="Infrastructure Inventory" sheetId="2" r:id="rId1"/>
    <sheet name="Revenue totals" sheetId="3" r:id="rId2"/>
    <sheet name="Balance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H3" i="4" s="1"/>
  <c r="C4" i="4"/>
  <c r="H4" i="4" s="1"/>
  <c r="C5" i="4"/>
  <c r="H5" i="4" s="1"/>
  <c r="C6" i="4"/>
  <c r="H6" i="4" s="1"/>
  <c r="C7" i="4"/>
  <c r="H7" i="4" s="1"/>
  <c r="C8" i="4"/>
  <c r="H8" i="4" s="1"/>
  <c r="C9" i="4"/>
  <c r="H9" i="4" s="1"/>
  <c r="C10" i="4"/>
  <c r="H10" i="4" s="1"/>
  <c r="C11" i="4"/>
  <c r="H11" i="4" s="1"/>
  <c r="C12" i="4"/>
  <c r="H12" i="4" s="1"/>
  <c r="C13" i="4"/>
  <c r="H13" i="4" s="1"/>
  <c r="C2" i="4"/>
  <c r="H2" i="4" s="1"/>
  <c r="C13" i="3" l="1"/>
  <c r="C12" i="3"/>
  <c r="C11" i="3"/>
  <c r="C10" i="3"/>
  <c r="C9" i="3"/>
  <c r="C8" i="3"/>
  <c r="C7" i="3"/>
  <c r="C6" i="3"/>
  <c r="C5" i="3"/>
  <c r="C4" i="3"/>
  <c r="C3" i="3"/>
  <c r="C2" i="3"/>
  <c r="AN42" i="2" l="1"/>
  <c r="AO42" i="2" s="1"/>
  <c r="AK42" i="2"/>
  <c r="AL42" i="2" s="1"/>
  <c r="AH42" i="2"/>
  <c r="AI42" i="2" s="1"/>
  <c r="AE42" i="2"/>
  <c r="AF42" i="2" s="1"/>
  <c r="AB42" i="2"/>
  <c r="AC42" i="2" s="1"/>
  <c r="Y42" i="2"/>
  <c r="Z42" i="2" s="1"/>
  <c r="V42" i="2"/>
  <c r="W42" i="2" s="1"/>
  <c r="S42" i="2"/>
  <c r="T42" i="2" s="1"/>
  <c r="P42" i="2"/>
  <c r="Q42" i="2" s="1"/>
  <c r="M42" i="2"/>
  <c r="N42" i="2" s="1"/>
  <c r="J42" i="2"/>
  <c r="K42" i="2" s="1"/>
  <c r="G42" i="2"/>
  <c r="H42" i="2" s="1"/>
  <c r="G3" i="4" l="1"/>
  <c r="G4" i="4"/>
  <c r="G5" i="4"/>
  <c r="G6" i="4"/>
  <c r="G7" i="4"/>
  <c r="G8" i="4"/>
  <c r="G9" i="4"/>
  <c r="G10" i="4"/>
  <c r="G11" i="4"/>
  <c r="G12" i="4"/>
  <c r="G13" i="4"/>
  <c r="G2" i="4"/>
  <c r="J47" i="2" l="1"/>
  <c r="K47" i="2" s="1"/>
  <c r="K48" i="2" s="1"/>
  <c r="M47" i="2"/>
  <c r="N47" i="2" s="1"/>
  <c r="N48" i="2" s="1"/>
  <c r="P47" i="2"/>
  <c r="Q47" i="2" s="1"/>
  <c r="Q48" i="2" s="1"/>
  <c r="S47" i="2"/>
  <c r="T47" i="2" s="1"/>
  <c r="T48" i="2" s="1"/>
  <c r="V47" i="2"/>
  <c r="W47" i="2" s="1"/>
  <c r="W48" i="2" s="1"/>
  <c r="Y47" i="2"/>
  <c r="Y48" i="2" s="1"/>
  <c r="Z47" i="2"/>
  <c r="Z48" i="2" s="1"/>
  <c r="AB47" i="2"/>
  <c r="AC47" i="2" s="1"/>
  <c r="AC48" i="2" s="1"/>
  <c r="AE47" i="2"/>
  <c r="AF47" i="2" s="1"/>
  <c r="AF48" i="2" s="1"/>
  <c r="AH47" i="2"/>
  <c r="AI47" i="2" s="1"/>
  <c r="AI48" i="2" s="1"/>
  <c r="AK47" i="2"/>
  <c r="AL47" i="2" s="1"/>
  <c r="AL48" i="2" s="1"/>
  <c r="AN47" i="2"/>
  <c r="AO47" i="2" s="1"/>
  <c r="AO48" i="2" s="1"/>
  <c r="J3" i="3"/>
  <c r="K49" i="2" s="1"/>
  <c r="J4" i="3"/>
  <c r="N49" i="2" s="1"/>
  <c r="J5" i="3"/>
  <c r="Q49" i="2" s="1"/>
  <c r="J6" i="3"/>
  <c r="T49" i="2" s="1"/>
  <c r="J7" i="3"/>
  <c r="W49" i="2" s="1"/>
  <c r="J8" i="3"/>
  <c r="Z49" i="2" s="1"/>
  <c r="J9" i="3"/>
  <c r="AC49" i="2" s="1"/>
  <c r="J10" i="3"/>
  <c r="AF49" i="2" s="1"/>
  <c r="J11" i="3"/>
  <c r="AI49" i="2" s="1"/>
  <c r="J12" i="3"/>
  <c r="AL49" i="2" s="1"/>
  <c r="J13" i="3"/>
  <c r="AO49" i="2" s="1"/>
  <c r="J2" i="3"/>
  <c r="H49" i="2" s="1"/>
  <c r="I3" i="3"/>
  <c r="I4" i="3"/>
  <c r="I5" i="3"/>
  <c r="I6" i="3"/>
  <c r="I7" i="3"/>
  <c r="I8" i="3"/>
  <c r="I9" i="3"/>
  <c r="I10" i="3"/>
  <c r="I11" i="3"/>
  <c r="I12" i="3"/>
  <c r="I13" i="3"/>
  <c r="I2" i="3"/>
  <c r="H3" i="3"/>
  <c r="K38" i="2" s="1"/>
  <c r="H4" i="3"/>
  <c r="N38" i="2" s="1"/>
  <c r="H5" i="3"/>
  <c r="Q38" i="2" s="1"/>
  <c r="H6" i="3"/>
  <c r="T38" i="2" s="1"/>
  <c r="H7" i="3"/>
  <c r="W38" i="2" s="1"/>
  <c r="H8" i="3"/>
  <c r="Z38" i="2" s="1"/>
  <c r="H9" i="3"/>
  <c r="AC38" i="2" s="1"/>
  <c r="H10" i="3"/>
  <c r="AF38" i="2" s="1"/>
  <c r="H11" i="3"/>
  <c r="AI38" i="2" s="1"/>
  <c r="H12" i="3"/>
  <c r="AL38" i="2" s="1"/>
  <c r="H13" i="3"/>
  <c r="AO38" i="2" s="1"/>
  <c r="H2" i="3"/>
  <c r="H38" i="2" s="1"/>
  <c r="G3" i="3"/>
  <c r="K31" i="2" s="1"/>
  <c r="G4" i="3"/>
  <c r="N31" i="2" s="1"/>
  <c r="G5" i="3"/>
  <c r="Q31" i="2" s="1"/>
  <c r="G6" i="3"/>
  <c r="T31" i="2" s="1"/>
  <c r="G7" i="3"/>
  <c r="W31" i="2" s="1"/>
  <c r="G8" i="3"/>
  <c r="Z31" i="2" s="1"/>
  <c r="G9" i="3"/>
  <c r="AC31" i="2" s="1"/>
  <c r="G10" i="3"/>
  <c r="AF31" i="2" s="1"/>
  <c r="G11" i="3"/>
  <c r="AI31" i="2" s="1"/>
  <c r="G12" i="3"/>
  <c r="AL31" i="2" s="1"/>
  <c r="G13" i="3"/>
  <c r="AO31" i="2" s="1"/>
  <c r="G2" i="3"/>
  <c r="H31" i="2" s="1"/>
  <c r="F3" i="3"/>
  <c r="K20" i="2" s="1"/>
  <c r="F4" i="3"/>
  <c r="N20" i="2" s="1"/>
  <c r="F5" i="3"/>
  <c r="Q20" i="2" s="1"/>
  <c r="F6" i="3"/>
  <c r="T20" i="2" s="1"/>
  <c r="F7" i="3"/>
  <c r="W20" i="2" s="1"/>
  <c r="F8" i="3"/>
  <c r="Z20" i="2" s="1"/>
  <c r="F9" i="3"/>
  <c r="AC20" i="2" s="1"/>
  <c r="F10" i="3"/>
  <c r="AF20" i="2" s="1"/>
  <c r="F11" i="3"/>
  <c r="AI20" i="2" s="1"/>
  <c r="F12" i="3"/>
  <c r="AL20" i="2" s="1"/>
  <c r="F13" i="3"/>
  <c r="AO20" i="2" s="1"/>
  <c r="F2" i="3"/>
  <c r="H20" i="2" s="1"/>
  <c r="E3" i="3"/>
  <c r="K10" i="2" s="1"/>
  <c r="E4" i="3"/>
  <c r="N10" i="2" s="1"/>
  <c r="E5" i="3"/>
  <c r="Q10" i="2" s="1"/>
  <c r="E6" i="3"/>
  <c r="T10" i="2" s="1"/>
  <c r="E7" i="3"/>
  <c r="W10" i="2" s="1"/>
  <c r="E8" i="3"/>
  <c r="Z10" i="2" s="1"/>
  <c r="E9" i="3"/>
  <c r="AC10" i="2" s="1"/>
  <c r="E10" i="3"/>
  <c r="AF10" i="2" s="1"/>
  <c r="E11" i="3"/>
  <c r="AI10" i="2" s="1"/>
  <c r="E12" i="3"/>
  <c r="AL10" i="2" s="1"/>
  <c r="E13" i="3"/>
  <c r="AO10" i="2" s="1"/>
  <c r="E2" i="3"/>
  <c r="H10" i="2" s="1"/>
  <c r="S4" i="2"/>
  <c r="T4" i="2" s="1"/>
  <c r="AN5" i="2"/>
  <c r="AO5" i="2" s="1"/>
  <c r="AN6" i="2"/>
  <c r="AO6" i="2" s="1"/>
  <c r="AN7" i="2"/>
  <c r="AO7" i="2" s="1"/>
  <c r="AN8" i="2"/>
  <c r="AO8" i="2" s="1"/>
  <c r="AN13" i="2"/>
  <c r="AO13" i="2" s="1"/>
  <c r="AN14" i="2"/>
  <c r="AO14" i="2" s="1"/>
  <c r="AN15" i="2"/>
  <c r="AO15" i="2" s="1"/>
  <c r="AN16" i="2"/>
  <c r="AO16" i="2" s="1"/>
  <c r="AN17" i="2"/>
  <c r="AO17" i="2" s="1"/>
  <c r="AN18" i="2"/>
  <c r="AO18" i="2" s="1"/>
  <c r="AN23" i="2"/>
  <c r="AO23" i="2" s="1"/>
  <c r="AN24" i="2"/>
  <c r="AO24" i="2" s="1"/>
  <c r="AN26" i="2"/>
  <c r="AO26" i="2" s="1"/>
  <c r="AN27" i="2"/>
  <c r="AO27" i="2" s="1"/>
  <c r="AN28" i="2"/>
  <c r="AO28" i="2" s="1"/>
  <c r="AN29" i="2"/>
  <c r="AO29" i="2" s="1"/>
  <c r="AN34" i="2"/>
  <c r="AO34" i="2" s="1"/>
  <c r="AN35" i="2"/>
  <c r="AO35" i="2" s="1"/>
  <c r="AN36" i="2"/>
  <c r="AO36" i="2" s="1"/>
  <c r="AN41" i="2"/>
  <c r="AN4" i="2"/>
  <c r="AO4" i="2" s="1"/>
  <c r="AK5" i="2"/>
  <c r="AK6" i="2"/>
  <c r="AL6" i="2" s="1"/>
  <c r="AK7" i="2"/>
  <c r="AL7" i="2" s="1"/>
  <c r="AK8" i="2"/>
  <c r="AL8" i="2" s="1"/>
  <c r="AK13" i="2"/>
  <c r="AL13" i="2" s="1"/>
  <c r="AK14" i="2"/>
  <c r="AL14" i="2" s="1"/>
  <c r="AK15" i="2"/>
  <c r="AL15" i="2" s="1"/>
  <c r="AK16" i="2"/>
  <c r="AL16" i="2" s="1"/>
  <c r="AK17" i="2"/>
  <c r="AL17" i="2" s="1"/>
  <c r="AK18" i="2"/>
  <c r="AL18" i="2" s="1"/>
  <c r="AK23" i="2"/>
  <c r="AL23" i="2" s="1"/>
  <c r="AK24" i="2"/>
  <c r="AL24" i="2" s="1"/>
  <c r="AK26" i="2"/>
  <c r="AL26" i="2" s="1"/>
  <c r="AK27" i="2"/>
  <c r="AL27" i="2" s="1"/>
  <c r="AK28" i="2"/>
  <c r="AL28" i="2" s="1"/>
  <c r="AK29" i="2"/>
  <c r="AL29" i="2" s="1"/>
  <c r="AK34" i="2"/>
  <c r="AK35" i="2"/>
  <c r="AL35" i="2" s="1"/>
  <c r="AK36" i="2"/>
  <c r="AL36" i="2" s="1"/>
  <c r="AK41" i="2"/>
  <c r="AK4" i="2"/>
  <c r="AL4" i="2" s="1"/>
  <c r="AH5" i="2"/>
  <c r="AI5" i="2" s="1"/>
  <c r="AH6" i="2"/>
  <c r="AH7" i="2"/>
  <c r="AI7" i="2" s="1"/>
  <c r="AH8" i="2"/>
  <c r="AI8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23" i="2"/>
  <c r="AI23" i="2" s="1"/>
  <c r="AH24" i="2"/>
  <c r="AH26" i="2"/>
  <c r="AI26" i="2" s="1"/>
  <c r="AH27" i="2"/>
  <c r="AI27" i="2" s="1"/>
  <c r="AH28" i="2"/>
  <c r="AI28" i="2" s="1"/>
  <c r="AH29" i="2"/>
  <c r="AI29" i="2" s="1"/>
  <c r="AH34" i="2"/>
  <c r="AI34" i="2" s="1"/>
  <c r="AH35" i="2"/>
  <c r="AI35" i="2" s="1"/>
  <c r="AH36" i="2"/>
  <c r="AI36" i="2" s="1"/>
  <c r="AH41" i="2"/>
  <c r="AH4" i="2"/>
  <c r="AI4" i="2" s="1"/>
  <c r="AE5" i="2"/>
  <c r="AF5" i="2" s="1"/>
  <c r="AE6" i="2"/>
  <c r="AF6" i="2" s="1"/>
  <c r="AE7" i="2"/>
  <c r="AF7" i="2" s="1"/>
  <c r="AE8" i="2"/>
  <c r="AF8" i="2" s="1"/>
  <c r="AE13" i="2"/>
  <c r="AF13" i="2" s="1"/>
  <c r="AE14" i="2"/>
  <c r="AF14" i="2" s="1"/>
  <c r="AE15" i="2"/>
  <c r="AF15" i="2" s="1"/>
  <c r="AE16" i="2"/>
  <c r="AF16" i="2" s="1"/>
  <c r="AE17" i="2"/>
  <c r="AF17" i="2" s="1"/>
  <c r="AE18" i="2"/>
  <c r="AF18" i="2" s="1"/>
  <c r="AE23" i="2"/>
  <c r="AF23" i="2" s="1"/>
  <c r="AE24" i="2"/>
  <c r="AF24" i="2" s="1"/>
  <c r="AE26" i="2"/>
  <c r="AF26" i="2" s="1"/>
  <c r="AE27" i="2"/>
  <c r="AF27" i="2" s="1"/>
  <c r="AE28" i="2"/>
  <c r="AF28" i="2" s="1"/>
  <c r="AE29" i="2"/>
  <c r="AF29" i="2" s="1"/>
  <c r="AE34" i="2"/>
  <c r="AE35" i="2"/>
  <c r="AF35" i="2" s="1"/>
  <c r="AE36" i="2"/>
  <c r="AF36" i="2" s="1"/>
  <c r="AE41" i="2"/>
  <c r="AE4" i="2"/>
  <c r="AF4" i="2" s="1"/>
  <c r="AB5" i="2"/>
  <c r="AB6" i="2"/>
  <c r="AC6" i="2" s="1"/>
  <c r="AB7" i="2"/>
  <c r="AC7" i="2" s="1"/>
  <c r="AB8" i="2"/>
  <c r="AC8" i="2" s="1"/>
  <c r="AB13" i="2"/>
  <c r="AC13" i="2" s="1"/>
  <c r="AB14" i="2"/>
  <c r="AC14" i="2" s="1"/>
  <c r="AB15" i="2"/>
  <c r="AC15" i="2" s="1"/>
  <c r="AB16" i="2"/>
  <c r="AC16" i="2" s="1"/>
  <c r="AB17" i="2"/>
  <c r="AC17" i="2" s="1"/>
  <c r="AB18" i="2"/>
  <c r="AC18" i="2" s="1"/>
  <c r="AB23" i="2"/>
  <c r="AC23" i="2" s="1"/>
  <c r="AB24" i="2"/>
  <c r="AC24" i="2" s="1"/>
  <c r="AB26" i="2"/>
  <c r="AC26" i="2" s="1"/>
  <c r="AB27" i="2"/>
  <c r="AC27" i="2" s="1"/>
  <c r="AB28" i="2"/>
  <c r="AC28" i="2" s="1"/>
  <c r="AB29" i="2"/>
  <c r="AC29" i="2" s="1"/>
  <c r="AB34" i="2"/>
  <c r="AB35" i="2"/>
  <c r="AC35" i="2" s="1"/>
  <c r="AB36" i="2"/>
  <c r="AC36" i="2" s="1"/>
  <c r="AB41" i="2"/>
  <c r="AB4" i="2"/>
  <c r="AC4" i="2" s="1"/>
  <c r="Y5" i="2"/>
  <c r="Z5" i="2" s="1"/>
  <c r="Y6" i="2"/>
  <c r="Y7" i="2"/>
  <c r="Z7" i="2" s="1"/>
  <c r="Y8" i="2"/>
  <c r="Z8" i="2" s="1"/>
  <c r="Y13" i="2"/>
  <c r="Z13" i="2" s="1"/>
  <c r="Y14" i="2"/>
  <c r="Z14" i="2" s="1"/>
  <c r="Y15" i="2"/>
  <c r="Z15" i="2" s="1"/>
  <c r="Y16" i="2"/>
  <c r="Z16" i="2" s="1"/>
  <c r="Y17" i="2"/>
  <c r="Z17" i="2" s="1"/>
  <c r="Y18" i="2"/>
  <c r="Z18" i="2" s="1"/>
  <c r="Y23" i="2"/>
  <c r="Z23" i="2" s="1"/>
  <c r="Y24" i="2"/>
  <c r="Z24" i="2" s="1"/>
  <c r="Y26" i="2"/>
  <c r="Z26" i="2" s="1"/>
  <c r="Y27" i="2"/>
  <c r="Z27" i="2" s="1"/>
  <c r="Y28" i="2"/>
  <c r="Z28" i="2" s="1"/>
  <c r="Y29" i="2"/>
  <c r="Z29" i="2" s="1"/>
  <c r="Y34" i="2"/>
  <c r="Z34" i="2" s="1"/>
  <c r="Y35" i="2"/>
  <c r="Z35" i="2" s="1"/>
  <c r="Y36" i="2"/>
  <c r="Y41" i="2"/>
  <c r="Y4" i="2"/>
  <c r="Z4" i="2" s="1"/>
  <c r="V5" i="2"/>
  <c r="W5" i="2" s="1"/>
  <c r="V6" i="2"/>
  <c r="W6" i="2" s="1"/>
  <c r="V7" i="2"/>
  <c r="W7" i="2" s="1"/>
  <c r="V8" i="2"/>
  <c r="W8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23" i="2"/>
  <c r="W23" i="2" s="1"/>
  <c r="V24" i="2"/>
  <c r="W24" i="2" s="1"/>
  <c r="V26" i="2"/>
  <c r="W26" i="2" s="1"/>
  <c r="V27" i="2"/>
  <c r="W27" i="2" s="1"/>
  <c r="V28" i="2"/>
  <c r="W28" i="2" s="1"/>
  <c r="V29" i="2"/>
  <c r="W29" i="2" s="1"/>
  <c r="V34" i="2"/>
  <c r="W34" i="2" s="1"/>
  <c r="V35" i="2"/>
  <c r="W35" i="2" s="1"/>
  <c r="V36" i="2"/>
  <c r="W36" i="2" s="1"/>
  <c r="V41" i="2"/>
  <c r="V4" i="2"/>
  <c r="W4" i="2" s="1"/>
  <c r="S5" i="2"/>
  <c r="T5" i="2" s="1"/>
  <c r="S6" i="2"/>
  <c r="T6" i="2" s="1"/>
  <c r="S7" i="2"/>
  <c r="T7" i="2" s="1"/>
  <c r="S8" i="2"/>
  <c r="T8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23" i="2"/>
  <c r="T23" i="2" s="1"/>
  <c r="S24" i="2"/>
  <c r="T24" i="2" s="1"/>
  <c r="S26" i="2"/>
  <c r="T26" i="2" s="1"/>
  <c r="S27" i="2"/>
  <c r="T27" i="2" s="1"/>
  <c r="S28" i="2"/>
  <c r="T28" i="2" s="1"/>
  <c r="S29" i="2"/>
  <c r="T29" i="2" s="1"/>
  <c r="S34" i="2"/>
  <c r="T34" i="2" s="1"/>
  <c r="S35" i="2"/>
  <c r="T35" i="2" s="1"/>
  <c r="S36" i="2"/>
  <c r="T36" i="2" s="1"/>
  <c r="S41" i="2"/>
  <c r="P5" i="2"/>
  <c r="Q5" i="2" s="1"/>
  <c r="P6" i="2"/>
  <c r="Q6" i="2" s="1"/>
  <c r="P7" i="2"/>
  <c r="Q7" i="2" s="1"/>
  <c r="P8" i="2"/>
  <c r="Q8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23" i="2"/>
  <c r="Q23" i="2" s="1"/>
  <c r="P24" i="2"/>
  <c r="Q24" i="2" s="1"/>
  <c r="P26" i="2"/>
  <c r="Q26" i="2" s="1"/>
  <c r="P27" i="2"/>
  <c r="Q27" i="2" s="1"/>
  <c r="P28" i="2"/>
  <c r="Q28" i="2" s="1"/>
  <c r="P29" i="2"/>
  <c r="Q29" i="2" s="1"/>
  <c r="P34" i="2"/>
  <c r="P35" i="2"/>
  <c r="Q35" i="2" s="1"/>
  <c r="P36" i="2"/>
  <c r="Q36" i="2" s="1"/>
  <c r="P41" i="2"/>
  <c r="P4" i="2"/>
  <c r="Q4" i="2" s="1"/>
  <c r="M13" i="2"/>
  <c r="M14" i="2"/>
  <c r="N14" i="2" s="1"/>
  <c r="M15" i="2"/>
  <c r="N15" i="2" s="1"/>
  <c r="M16" i="2"/>
  <c r="N16" i="2" s="1"/>
  <c r="M17" i="2"/>
  <c r="N17" i="2" s="1"/>
  <c r="M18" i="2"/>
  <c r="N18" i="2" s="1"/>
  <c r="M23" i="2"/>
  <c r="N23" i="2" s="1"/>
  <c r="M24" i="2"/>
  <c r="N24" i="2" s="1"/>
  <c r="M26" i="2"/>
  <c r="N26" i="2" s="1"/>
  <c r="M27" i="2"/>
  <c r="N27" i="2" s="1"/>
  <c r="M28" i="2"/>
  <c r="N28" i="2" s="1"/>
  <c r="M29" i="2"/>
  <c r="N29" i="2" s="1"/>
  <c r="M34" i="2"/>
  <c r="N34" i="2" s="1"/>
  <c r="M35" i="2"/>
  <c r="N35" i="2" s="1"/>
  <c r="M36" i="2"/>
  <c r="N36" i="2" s="1"/>
  <c r="M41" i="2"/>
  <c r="M5" i="2"/>
  <c r="N5" i="2" s="1"/>
  <c r="M6" i="2"/>
  <c r="N6" i="2" s="1"/>
  <c r="M7" i="2"/>
  <c r="N7" i="2" s="1"/>
  <c r="M8" i="2"/>
  <c r="N8" i="2" s="1"/>
  <c r="M4" i="2"/>
  <c r="N4" i="2" s="1"/>
  <c r="G29" i="2"/>
  <c r="H29" i="2" s="1"/>
  <c r="AH48" i="2" l="1"/>
  <c r="M48" i="2"/>
  <c r="Q41" i="2"/>
  <c r="P43" i="2"/>
  <c r="T41" i="2"/>
  <c r="S43" i="2"/>
  <c r="AO41" i="2"/>
  <c r="AN43" i="2"/>
  <c r="W41" i="2"/>
  <c r="V43" i="2"/>
  <c r="AF41" i="2"/>
  <c r="AE43" i="2"/>
  <c r="Z41" i="2"/>
  <c r="Y43" i="2"/>
  <c r="AI41" i="2"/>
  <c r="AH43" i="2"/>
  <c r="N41" i="2"/>
  <c r="M43" i="2"/>
  <c r="AC41" i="2"/>
  <c r="AB43" i="2"/>
  <c r="AL41" i="2"/>
  <c r="AK43" i="2"/>
  <c r="AO50" i="2"/>
  <c r="N13" i="4" s="1"/>
  <c r="W50" i="2"/>
  <c r="N7" i="4" s="1"/>
  <c r="AL50" i="2"/>
  <c r="N12" i="4" s="1"/>
  <c r="S48" i="2"/>
  <c r="Z50" i="2"/>
  <c r="N8" i="4" s="1"/>
  <c r="AN48" i="2"/>
  <c r="AI50" i="2"/>
  <c r="N11" i="4" s="1"/>
  <c r="N37" i="2"/>
  <c r="N39" i="2" s="1"/>
  <c r="L4" i="4" s="1"/>
  <c r="AB37" i="2"/>
  <c r="AK37" i="2"/>
  <c r="AC34" i="2"/>
  <c r="AC37" i="2" s="1"/>
  <c r="AC39" i="2" s="1"/>
  <c r="L9" i="4" s="1"/>
  <c r="Q50" i="2"/>
  <c r="N5" i="4" s="1"/>
  <c r="AI37" i="2"/>
  <c r="AI39" i="2" s="1"/>
  <c r="L11" i="4" s="1"/>
  <c r="N50" i="2"/>
  <c r="N4" i="4" s="1"/>
  <c r="P37" i="2"/>
  <c r="AE37" i="2"/>
  <c r="AH30" i="2"/>
  <c r="AF50" i="2"/>
  <c r="N10" i="4" s="1"/>
  <c r="K50" i="2"/>
  <c r="N3" i="4" s="1"/>
  <c r="AC50" i="2"/>
  <c r="N9" i="4" s="1"/>
  <c r="Y37" i="2"/>
  <c r="AH37" i="2"/>
  <c r="AO37" i="2"/>
  <c r="AO39" i="2" s="1"/>
  <c r="L13" i="4" s="1"/>
  <c r="Z36" i="2"/>
  <c r="Z37" i="2" s="1"/>
  <c r="Z39" i="2" s="1"/>
  <c r="L8" i="4" s="1"/>
  <c r="AL34" i="2"/>
  <c r="AL37" i="2" s="1"/>
  <c r="AL39" i="2" s="1"/>
  <c r="L12" i="4" s="1"/>
  <c r="T50" i="2"/>
  <c r="N6" i="4" s="1"/>
  <c r="AK48" i="2"/>
  <c r="AE48" i="2"/>
  <c r="AB48" i="2"/>
  <c r="V48" i="2"/>
  <c r="P48" i="2"/>
  <c r="J48" i="2"/>
  <c r="W37" i="2"/>
  <c r="W39" i="2" s="1"/>
  <c r="L7" i="4" s="1"/>
  <c r="T37" i="2"/>
  <c r="T39" i="2" s="1"/>
  <c r="L6" i="4" s="1"/>
  <c r="AC30" i="2"/>
  <c r="AC32" i="2" s="1"/>
  <c r="K9" i="4" s="1"/>
  <c r="AF34" i="2"/>
  <c r="AF37" i="2" s="1"/>
  <c r="AF39" i="2" s="1"/>
  <c r="L10" i="4" s="1"/>
  <c r="AF30" i="2"/>
  <c r="AF32" i="2" s="1"/>
  <c r="K10" i="4" s="1"/>
  <c r="AL30" i="2"/>
  <c r="AL32" i="2" s="1"/>
  <c r="K12" i="4" s="1"/>
  <c r="Q34" i="2"/>
  <c r="Q37" i="2" s="1"/>
  <c r="Q39" i="2" s="1"/>
  <c r="L5" i="4" s="1"/>
  <c r="Z30" i="2"/>
  <c r="Z32" i="2" s="1"/>
  <c r="K8" i="4" s="1"/>
  <c r="M37" i="2"/>
  <c r="S37" i="2"/>
  <c r="AN37" i="2"/>
  <c r="T30" i="2"/>
  <c r="T32" i="2" s="1"/>
  <c r="K6" i="4" s="1"/>
  <c r="V37" i="2"/>
  <c r="M19" i="2"/>
  <c r="W19" i="2"/>
  <c r="W21" i="2" s="1"/>
  <c r="J7" i="4" s="1"/>
  <c r="AF19" i="2"/>
  <c r="AF21" i="2" s="1"/>
  <c r="J10" i="4" s="1"/>
  <c r="Q19" i="2"/>
  <c r="Q21" i="2" s="1"/>
  <c r="J5" i="4" s="1"/>
  <c r="Q30" i="2"/>
  <c r="Q32" i="2" s="1"/>
  <c r="K5" i="4" s="1"/>
  <c r="W30" i="2"/>
  <c r="W32" i="2" s="1"/>
  <c r="K7" i="4" s="1"/>
  <c r="N30" i="2"/>
  <c r="N32" i="2" s="1"/>
  <c r="K4" i="4" s="1"/>
  <c r="T19" i="2"/>
  <c r="T21" i="2" s="1"/>
  <c r="J6" i="4" s="1"/>
  <c r="Z19" i="2"/>
  <c r="Z21" i="2" s="1"/>
  <c r="J8" i="4" s="1"/>
  <c r="AC19" i="2"/>
  <c r="AC21" i="2" s="1"/>
  <c r="J9" i="4" s="1"/>
  <c r="AI19" i="2"/>
  <c r="AI21" i="2" s="1"/>
  <c r="J11" i="4" s="1"/>
  <c r="AL19" i="2"/>
  <c r="AL21" i="2" s="1"/>
  <c r="J12" i="4" s="1"/>
  <c r="AO19" i="2"/>
  <c r="AO21" i="2" s="1"/>
  <c r="J13" i="4" s="1"/>
  <c r="AO30" i="2"/>
  <c r="AO32" i="2" s="1"/>
  <c r="K13" i="4" s="1"/>
  <c r="AI24" i="2"/>
  <c r="AI30" i="2" s="1"/>
  <c r="AI32" i="2" s="1"/>
  <c r="K11" i="4" s="1"/>
  <c r="P30" i="2"/>
  <c r="V30" i="2"/>
  <c r="AB30" i="2"/>
  <c r="AE30" i="2"/>
  <c r="AK30" i="2"/>
  <c r="N13" i="2"/>
  <c r="N19" i="2" s="1"/>
  <c r="N21" i="2" s="1"/>
  <c r="J4" i="4" s="1"/>
  <c r="S19" i="2"/>
  <c r="Y19" i="2"/>
  <c r="AH19" i="2"/>
  <c r="AN19" i="2"/>
  <c r="S30" i="2"/>
  <c r="Y30" i="2"/>
  <c r="AN30" i="2"/>
  <c r="P19" i="2"/>
  <c r="V19" i="2"/>
  <c r="AB19" i="2"/>
  <c r="AE19" i="2"/>
  <c r="AK19" i="2"/>
  <c r="M30" i="2"/>
  <c r="AC5" i="2"/>
  <c r="AL5" i="2"/>
  <c r="Z6" i="2"/>
  <c r="AI6" i="2"/>
  <c r="J16" i="2"/>
  <c r="K16" i="2" s="1"/>
  <c r="G16" i="2"/>
  <c r="H16" i="2" s="1"/>
  <c r="J29" i="2"/>
  <c r="K29" i="2" s="1"/>
  <c r="J28" i="2"/>
  <c r="K28" i="2" s="1"/>
  <c r="G28" i="2"/>
  <c r="H28" i="2" s="1"/>
  <c r="G34" i="2"/>
  <c r="J34" i="2"/>
  <c r="AC43" i="2" l="1"/>
  <c r="AC45" i="2" s="1"/>
  <c r="M9" i="4" s="1"/>
  <c r="Z43" i="2"/>
  <c r="Z45" i="2" s="1"/>
  <c r="M8" i="4" s="1"/>
  <c r="W43" i="2"/>
  <c r="W45" i="2" s="1"/>
  <c r="M7" i="4" s="1"/>
  <c r="T43" i="2"/>
  <c r="T45" i="2" s="1"/>
  <c r="M6" i="4" s="1"/>
  <c r="AL43" i="2"/>
  <c r="AL45" i="2" s="1"/>
  <c r="M12" i="4" s="1"/>
  <c r="N43" i="2"/>
  <c r="N45" i="2" s="1"/>
  <c r="M4" i="4" s="1"/>
  <c r="AI43" i="2"/>
  <c r="AI45" i="2" s="1"/>
  <c r="M11" i="4" s="1"/>
  <c r="AF43" i="2"/>
  <c r="AF45" i="2" s="1"/>
  <c r="M10" i="4" s="1"/>
  <c r="AO43" i="2"/>
  <c r="AO45" i="2" s="1"/>
  <c r="M13" i="4" s="1"/>
  <c r="Q43" i="2"/>
  <c r="Q45" i="2" s="1"/>
  <c r="M5" i="4" s="1"/>
  <c r="H34" i="2"/>
  <c r="K34" i="2"/>
  <c r="J17" i="2"/>
  <c r="K17" i="2" s="1"/>
  <c r="G17" i="2"/>
  <c r="H17" i="2" s="1"/>
  <c r="G47" i="2" l="1"/>
  <c r="J41" i="2"/>
  <c r="J43" i="2" s="1"/>
  <c r="G41" i="2"/>
  <c r="G43" i="2" s="1"/>
  <c r="J36" i="2"/>
  <c r="K36" i="2" s="1"/>
  <c r="G36" i="2"/>
  <c r="H36" i="2" s="1"/>
  <c r="J35" i="2"/>
  <c r="G35" i="2"/>
  <c r="J27" i="2"/>
  <c r="K27" i="2" s="1"/>
  <c r="G27" i="2"/>
  <c r="H27" i="2" s="1"/>
  <c r="J26" i="2"/>
  <c r="K26" i="2" s="1"/>
  <c r="G26" i="2"/>
  <c r="H26" i="2" s="1"/>
  <c r="J24" i="2"/>
  <c r="G24" i="2"/>
  <c r="J23" i="2"/>
  <c r="K23" i="2" s="1"/>
  <c r="G23" i="2"/>
  <c r="H23" i="2" s="1"/>
  <c r="J18" i="2"/>
  <c r="K18" i="2" s="1"/>
  <c r="G18" i="2"/>
  <c r="H18" i="2" s="1"/>
  <c r="J15" i="2"/>
  <c r="K15" i="2" s="1"/>
  <c r="G15" i="2"/>
  <c r="H15" i="2" s="1"/>
  <c r="J14" i="2"/>
  <c r="K14" i="2" s="1"/>
  <c r="G14" i="2"/>
  <c r="H14" i="2" s="1"/>
  <c r="J13" i="2"/>
  <c r="G13" i="2"/>
  <c r="J8" i="2"/>
  <c r="K8" i="2" s="1"/>
  <c r="G8" i="2"/>
  <c r="H8" i="2" s="1"/>
  <c r="J7" i="2"/>
  <c r="K7" i="2" s="1"/>
  <c r="G7" i="2"/>
  <c r="H7" i="2" s="1"/>
  <c r="J6" i="2"/>
  <c r="K6" i="2" s="1"/>
  <c r="G6" i="2"/>
  <c r="H6" i="2" s="1"/>
  <c r="J5" i="2"/>
  <c r="K5" i="2" s="1"/>
  <c r="G5" i="2"/>
  <c r="H5" i="2" s="1"/>
  <c r="J4" i="2"/>
  <c r="G4" i="2"/>
  <c r="H47" i="2" l="1"/>
  <c r="H48" i="2" s="1"/>
  <c r="H50" i="2" s="1"/>
  <c r="N2" i="4" s="1"/>
  <c r="G48" i="2"/>
  <c r="K41" i="2"/>
  <c r="H41" i="2"/>
  <c r="H35" i="2"/>
  <c r="H37" i="2" s="1"/>
  <c r="H39" i="2" s="1"/>
  <c r="L2" i="4" s="1"/>
  <c r="G37" i="2"/>
  <c r="K35" i="2"/>
  <c r="K37" i="2" s="1"/>
  <c r="K39" i="2" s="1"/>
  <c r="L3" i="4" s="1"/>
  <c r="J37" i="2"/>
  <c r="H13" i="2"/>
  <c r="H19" i="2" s="1"/>
  <c r="H21" i="2" s="1"/>
  <c r="J2" i="4" s="1"/>
  <c r="G19" i="2"/>
  <c r="K13" i="2"/>
  <c r="K19" i="2" s="1"/>
  <c r="K21" i="2" s="1"/>
  <c r="J3" i="4" s="1"/>
  <c r="J19" i="2"/>
  <c r="H24" i="2"/>
  <c r="H30" i="2" s="1"/>
  <c r="H32" i="2" s="1"/>
  <c r="K2" i="4" s="1"/>
  <c r="G30" i="2"/>
  <c r="K24" i="2"/>
  <c r="K30" i="2" s="1"/>
  <c r="K32" i="2" s="1"/>
  <c r="K3" i="4" s="1"/>
  <c r="J30" i="2"/>
  <c r="H4" i="2"/>
  <c r="K4" i="2"/>
  <c r="K43" i="2" l="1"/>
  <c r="K45" i="2" s="1"/>
  <c r="M3" i="4" s="1"/>
  <c r="H43" i="2"/>
  <c r="H45" i="2" s="1"/>
  <c r="M2" i="4" s="1"/>
  <c r="V9" i="2"/>
  <c r="S9" i="2"/>
  <c r="G9" i="2"/>
  <c r="Q9" i="2"/>
  <c r="Q11" i="2" s="1"/>
  <c r="I5" i="4" s="1"/>
  <c r="AH9" i="2"/>
  <c r="T9" i="2"/>
  <c r="T11" i="2" s="1"/>
  <c r="I6" i="4" s="1"/>
  <c r="P9" i="2"/>
  <c r="AN9" i="2"/>
  <c r="N9" i="2"/>
  <c r="N11" i="2" s="1"/>
  <c r="I4" i="4" s="1"/>
  <c r="AF9" i="2"/>
  <c r="AF11" i="2" s="1"/>
  <c r="I10" i="4" s="1"/>
  <c r="AL9" i="2"/>
  <c r="AL11" i="2" s="1"/>
  <c r="I12" i="4" s="1"/>
  <c r="Z9" i="2"/>
  <c r="Z11" i="2" s="1"/>
  <c r="I8" i="4" s="1"/>
  <c r="J9" i="2"/>
  <c r="M9" i="2"/>
  <c r="W9" i="2"/>
  <c r="W11" i="2" s="1"/>
  <c r="I7" i="4" s="1"/>
  <c r="AB9" i="2"/>
  <c r="Y9" i="2"/>
  <c r="AI9" i="2"/>
  <c r="AI11" i="2" s="1"/>
  <c r="I11" i="4" s="1"/>
  <c r="K9" i="2"/>
  <c r="K11" i="2" s="1"/>
  <c r="I3" i="4" s="1"/>
  <c r="H9" i="2"/>
  <c r="H11" i="2" s="1"/>
  <c r="I2" i="4" s="1"/>
  <c r="AO9" i="2"/>
  <c r="AO11" i="2" s="1"/>
  <c r="I13" i="4" s="1"/>
  <c r="AK9" i="2"/>
  <c r="AE9" i="2"/>
  <c r="AC9" i="2"/>
  <c r="AC11" i="2" s="1"/>
  <c r="I9" i="4" s="1"/>
</calcChain>
</file>

<file path=xl/sharedStrings.xml><?xml version="1.0" encoding="utf-8"?>
<sst xmlns="http://schemas.openxmlformats.org/spreadsheetml/2006/main" count="251" uniqueCount="186">
  <si>
    <t>Jean Avenue</t>
  </si>
  <si>
    <t>Curb and Gutter</t>
  </si>
  <si>
    <t>Quantity</t>
  </si>
  <si>
    <t>Cost per Unit</t>
  </si>
  <si>
    <t>Extruded Curb - Straight</t>
  </si>
  <si>
    <t>Extruded Curb - Curved</t>
  </si>
  <si>
    <t>Storm Sewer Piping - 15" Class III RCP</t>
  </si>
  <si>
    <t>Sidewalk</t>
  </si>
  <si>
    <t>Storm Water Infrastructure</t>
  </si>
  <si>
    <t>Lighting</t>
  </si>
  <si>
    <t>Decorative Pole - 20' w/ 125w LED</t>
  </si>
  <si>
    <t>Wooden Pole - 40' w/ 400w metal halide</t>
  </si>
  <si>
    <t>Electrical</t>
  </si>
  <si>
    <t xml:space="preserve">Wooden Pole - 40' </t>
  </si>
  <si>
    <t>Underground - 3" dia. Schedule 40 PVC, 4' deep</t>
  </si>
  <si>
    <t>Water</t>
  </si>
  <si>
    <t>6" HDPE SDR 21 fusion, 4' deep</t>
  </si>
  <si>
    <t>8" HDPE SDR 21 fusion, 4' deep</t>
  </si>
  <si>
    <t>16" HDPE fusion SDR 21, 6' deep with trench box</t>
  </si>
  <si>
    <t>Sanitary Sewer</t>
  </si>
  <si>
    <t>8" HDPE type S watertight, 4' deep</t>
  </si>
  <si>
    <t>Natural Gas</t>
  </si>
  <si>
    <t>2" diameter, steel plain end, Schedule 40, 2' deep</t>
  </si>
  <si>
    <t>Storm Sewer Piping - 18" Class III RCP</t>
  </si>
  <si>
    <t>Storm Sewer Piping - 48" Class III RCP</t>
  </si>
  <si>
    <t>Storm Sewer Piping - 15" Corrugated HDPE Type S</t>
  </si>
  <si>
    <t>Cost</t>
  </si>
  <si>
    <t>Ross Avenue</t>
  </si>
  <si>
    <t>Unit</t>
  </si>
  <si>
    <t>Asphalt Road</t>
  </si>
  <si>
    <t>Creekside Court</t>
  </si>
  <si>
    <t>Blade Street</t>
  </si>
  <si>
    <t>Lilycrest Drive</t>
  </si>
  <si>
    <t>Wexford Place</t>
  </si>
  <si>
    <t>Riding Club Court</t>
  </si>
  <si>
    <t>Foxland Boulevard</t>
  </si>
  <si>
    <t>Brush Hill Court</t>
  </si>
  <si>
    <t>Shawn Drive</t>
  </si>
  <si>
    <t>Richland Court</t>
  </si>
  <si>
    <t>Marble Court</t>
  </si>
  <si>
    <t>Roadway</t>
  </si>
  <si>
    <t>Manhole - concrete, CIP, 4' I.D. riser, 4' deep</t>
  </si>
  <si>
    <t>Total Cost</t>
  </si>
  <si>
    <t>Annual Cost</t>
  </si>
  <si>
    <t>Storm Water Headwall - Conc. CIP 30" Pipe, 3' long wing walls</t>
  </si>
  <si>
    <t>General Fund Tax Revenue:</t>
  </si>
  <si>
    <t>General Fund Expenses:</t>
  </si>
  <si>
    <t>Balance:</t>
  </si>
  <si>
    <t>Storm Water Utility Expenses:</t>
  </si>
  <si>
    <t>Storm Water Utility Revenue:</t>
  </si>
  <si>
    <t>GDE Expenses:</t>
  </si>
  <si>
    <t>GDE Revenue:</t>
  </si>
  <si>
    <t>GPU Water Revenue:</t>
  </si>
  <si>
    <t>GPU Sewer Revenue:</t>
  </si>
  <si>
    <t>GPU Gas Revenue:</t>
  </si>
  <si>
    <t>GPU Water Expenses:</t>
  </si>
  <si>
    <t>GPU Sewer Expenses:</t>
  </si>
  <si>
    <t>GPU Gas Expenses:</t>
  </si>
  <si>
    <t>Name</t>
  </si>
  <si>
    <t>Acreage</t>
  </si>
  <si>
    <t>Properties/households</t>
  </si>
  <si>
    <t>General Fund Revenue per household:</t>
  </si>
  <si>
    <t>Stormwater Utilty Revenue per household:</t>
  </si>
  <si>
    <t>GDE Revenue per household</t>
  </si>
  <si>
    <t>GPU Water Revenue per household</t>
  </si>
  <si>
    <t>GPU Sewer Revenue per household</t>
  </si>
  <si>
    <t>GPU Gas Revenue per household</t>
  </si>
  <si>
    <t>Annual:</t>
  </si>
  <si>
    <t>General Fund Revenue</t>
  </si>
  <si>
    <t>Stormwater Utility Revenue</t>
  </si>
  <si>
    <t>GDE Revenue</t>
  </si>
  <si>
    <t>GPU Water Revenue</t>
  </si>
  <si>
    <t>GPU Sewer Revenue</t>
  </si>
  <si>
    <t>GPU Gas Revenue</t>
  </si>
  <si>
    <t>DU/Ac</t>
  </si>
  <si>
    <t>Storm Water Balance</t>
  </si>
  <si>
    <t>GDE Balance</t>
  </si>
  <si>
    <t>Water Balance</t>
  </si>
  <si>
    <t>Sewer Balance</t>
  </si>
  <si>
    <t>Gas Balance</t>
  </si>
  <si>
    <t>Storm Water Curb Inlet &amp; Catch Basin, concrete, precast, 4' I.D. riser, 4' deep</t>
  </si>
  <si>
    <t>Lots</t>
  </si>
  <si>
    <t>Length (mi)</t>
  </si>
  <si>
    <t>Length (ft)</t>
  </si>
  <si>
    <t>Avg. Lot width</t>
  </si>
  <si>
    <t>Road Maint. Balance</t>
  </si>
  <si>
    <r>
      <t>L.F.</t>
    </r>
    <r>
      <rPr>
        <vertAlign val="superscript"/>
        <sz val="11"/>
        <color theme="1"/>
        <rFont val="Calibri"/>
        <family val="2"/>
        <scheme val="minor"/>
      </rPr>
      <t>4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</si>
  <si>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5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</si>
  <si>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6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</si>
  <si>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7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</si>
  <si>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8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</si>
  <si>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9</t>
    </r>
  </si>
  <si>
    <t>Life Expectancy</t>
  </si>
  <si>
    <r>
      <t>Each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</si>
  <si>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Each</t>
    </r>
    <r>
      <rPr>
        <vertAlign val="superscript"/>
        <sz val="11"/>
        <color theme="1"/>
        <rFont val="Calibri"/>
        <family val="2"/>
        <scheme val="minor"/>
      </rPr>
      <t>13</t>
    </r>
  </si>
  <si>
    <r>
      <t>Each</t>
    </r>
    <r>
      <rPr>
        <vertAlign val="superscript"/>
        <sz val="11"/>
        <color theme="1"/>
        <rFont val="Calibri"/>
        <family val="2"/>
        <scheme val="minor"/>
      </rPr>
      <t>14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</si>
  <si>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17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</si>
  <si>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18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</si>
  <si>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19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</si>
  <si>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20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</si>
  <si>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21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</si>
  <si>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23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</si>
  <si>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</si>
  <si>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</si>
  <si>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Ibid.</t>
    </r>
  </si>
  <si>
    <r>
      <t>Overhead 7,200V transmission line w/ transformer, &amp; 150' of service conductor every 200'</t>
    </r>
    <r>
      <rPr>
        <vertAlign val="superscript"/>
        <sz val="11"/>
        <color theme="1"/>
        <rFont val="Calibri"/>
        <family val="2"/>
        <scheme val="minor"/>
      </rPr>
      <t>1</t>
    </r>
  </si>
  <si>
    <r>
      <t>Underground 7,200V transimission line, w/ transformer, &amp; 150' of service conductor every 200'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</si>
  <si>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Mi (24'-wide)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</si>
  <si>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</si>
  <si>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</si>
  <si>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Each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</si>
  <si>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Each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</si>
  <si>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22</t>
    </r>
  </si>
  <si>
    <r>
      <t>Each</t>
    </r>
    <r>
      <rPr>
        <vertAlign val="superscript"/>
        <sz val="11"/>
        <color theme="1"/>
        <rFont val="Calibri"/>
        <family val="2"/>
        <scheme val="minor"/>
      </rPr>
      <t>24</t>
    </r>
  </si>
  <si>
    <r>
      <t>L.F.</t>
    </r>
    <r>
      <rPr>
        <vertAlign val="superscript"/>
        <sz val="11"/>
        <color theme="1"/>
        <rFont val="Calibri"/>
        <family val="2"/>
        <scheme val="minor"/>
      </rPr>
      <t>25</t>
    </r>
  </si>
  <si>
    <r>
      <t>14 years</t>
    </r>
    <r>
      <rPr>
        <vertAlign val="superscript"/>
        <sz val="11"/>
        <color theme="1"/>
        <rFont val="Calibri"/>
        <family val="2"/>
        <scheme val="minor"/>
      </rPr>
      <t>26</t>
    </r>
  </si>
  <si>
    <r>
      <t>20 years</t>
    </r>
    <r>
      <rPr>
        <vertAlign val="superscript"/>
        <sz val="11"/>
        <color theme="1"/>
        <rFont val="Calibri"/>
        <family val="2"/>
        <scheme val="minor"/>
      </rPr>
      <t>27</t>
    </r>
  </si>
  <si>
    <r>
      <t>25 years</t>
    </r>
    <r>
      <rPr>
        <vertAlign val="superscript"/>
        <sz val="11"/>
        <color theme="1"/>
        <rFont val="Calibri"/>
        <family val="2"/>
        <scheme val="minor"/>
      </rPr>
      <t>28</t>
    </r>
  </si>
  <si>
    <r>
      <t>20 years</t>
    </r>
    <r>
      <rPr>
        <vertAlign val="superscript"/>
        <sz val="11"/>
        <color theme="1"/>
        <rFont val="Calibri"/>
        <family val="2"/>
        <scheme val="minor"/>
      </rPr>
      <t>29</t>
    </r>
  </si>
  <si>
    <r>
      <t>20 years</t>
    </r>
    <r>
      <rPr>
        <vertAlign val="superscript"/>
        <sz val="11"/>
        <color theme="1"/>
        <rFont val="Calibri"/>
        <family val="2"/>
        <scheme val="minor"/>
      </rPr>
      <t>30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</si>
  <si>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31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</si>
  <si>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32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</si>
  <si>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33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</si>
  <si>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34</t>
    </r>
  </si>
  <si>
    <r>
      <t>100 years</t>
    </r>
    <r>
      <rPr>
        <vertAlign val="superscript"/>
        <sz val="11"/>
        <color theme="1"/>
        <rFont val="Calibri"/>
        <family val="2"/>
        <scheme val="minor"/>
      </rPr>
      <t>35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</si>
  <si>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36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</si>
  <si>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37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</si>
  <si>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38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</si>
  <si>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39</t>
    </r>
  </si>
  <si>
    <r>
      <t>75 years</t>
    </r>
    <r>
      <rPr>
        <vertAlign val="superscript"/>
        <sz val="11"/>
        <color theme="1"/>
        <rFont val="Calibri"/>
        <family val="2"/>
        <scheme val="minor"/>
      </rPr>
      <t>40</t>
    </r>
  </si>
  <si>
    <r>
      <t>80 years</t>
    </r>
    <r>
      <rPr>
        <vertAlign val="superscript"/>
        <sz val="11"/>
        <color theme="1"/>
        <rFont val="Calibri"/>
        <family val="2"/>
        <scheme val="minor"/>
      </rPr>
      <t>41</t>
    </r>
  </si>
  <si>
    <r>
      <t>40 years</t>
    </r>
    <r>
      <rPr>
        <vertAlign val="superscript"/>
        <sz val="11"/>
        <color theme="1"/>
        <rFont val="Calibri"/>
        <family val="2"/>
        <scheme val="minor"/>
      </rPr>
      <t>42</t>
    </r>
  </si>
  <si>
    <r>
      <t>75 years</t>
    </r>
    <r>
      <rPr>
        <vertAlign val="superscript"/>
        <sz val="11"/>
        <color theme="1"/>
        <rFont val="Calibri"/>
        <family val="2"/>
        <scheme val="minor"/>
      </rPr>
      <t>43</t>
    </r>
  </si>
  <si>
    <r>
      <t>75 years</t>
    </r>
    <r>
      <rPr>
        <vertAlign val="superscript"/>
        <sz val="11"/>
        <color theme="1"/>
        <rFont val="Calibri"/>
        <family val="2"/>
        <scheme val="minor"/>
      </rPr>
      <t>44</t>
    </r>
  </si>
  <si>
    <r>
      <t>75 years</t>
    </r>
    <r>
      <rPr>
        <vertAlign val="superscript"/>
        <sz val="11"/>
        <color theme="1"/>
        <rFont val="Calibri"/>
        <family val="2"/>
        <scheme val="minor"/>
      </rPr>
      <t>45</t>
    </r>
  </si>
  <si>
    <r>
      <t>75 years</t>
    </r>
    <r>
      <rPr>
        <vertAlign val="superscript"/>
        <sz val="11"/>
        <color theme="1"/>
        <rFont val="Calibri"/>
        <family val="2"/>
        <scheme val="minor"/>
      </rPr>
      <t>46</t>
    </r>
  </si>
  <si>
    <r>
      <t>100 years</t>
    </r>
    <r>
      <rPr>
        <vertAlign val="superscript"/>
        <sz val="11"/>
        <color theme="1"/>
        <rFont val="Calibri"/>
        <family val="2"/>
        <scheme val="minor"/>
      </rPr>
      <t>47</t>
    </r>
  </si>
  <si>
    <r>
      <t>50 years</t>
    </r>
    <r>
      <rPr>
        <vertAlign val="superscript"/>
        <sz val="11"/>
        <color theme="1"/>
        <rFont val="Calibri"/>
        <family val="2"/>
        <scheme val="minor"/>
      </rPr>
      <t>48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</si>
  <si>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National Cooperative Highway Research Program. (2012). Report 713: Estimating life expectancies of highway assets, volume 1: Guidebook. Washington, DC: Transportation Research Board. Retrieved from https://nacto.org/docs/usdg/nchrp_rpt_713_thompson.pdf.</t>
    </r>
  </si>
  <si>
    <r>
      <rPr>
        <vertAlign val="super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</si>
  <si>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</si>
  <si>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</si>
  <si>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</si>
  <si>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</si>
  <si>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</si>
  <si>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</si>
  <si>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 xml:space="preserve">Restoration Engineering, Inc. (2014). 2013 Replacement reserve study Fairlington Glen Condominium (2nd Rev. ed). Retrieved from https://www.fairlington.org/Glen2013ReserveStudy.pdf. </t>
    </r>
  </si>
  <si>
    <r>
      <rPr>
        <vertAlign val="superscript"/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>National Cooperative Highway Research Program. (2012). Report 713: Estimating life expectancies of highway assets, volume 1: Guidebook. Washington, DC: Transportation Research Board. Retrieved from https://nacto.org/docs/usdg/nchrp_rpt_713_thompson.pdf.</t>
    </r>
  </si>
  <si>
    <r>
      <rPr>
        <vertAlign val="superscript"/>
        <sz val="11"/>
        <color theme="1"/>
        <rFont val="Calibri"/>
        <family val="2"/>
        <scheme val="minor"/>
      </rPr>
      <t>37</t>
    </r>
    <r>
      <rPr>
        <sz val="11"/>
        <color theme="1"/>
        <rFont val="Calibri"/>
        <family val="2"/>
        <scheme val="minor"/>
      </rPr>
      <t xml:space="preserve">Morrell, J. (2016). Estimated service life of wood poles, No. 16-U-101. North American Wood Pole Council Technical Bulletin. Retrieved from https://woodpoles.org/portals/2/documents/TB_ServiceLife.pdf. </t>
    </r>
  </si>
  <si>
    <r>
      <rPr>
        <vertAlign val="superscript"/>
        <sz val="11"/>
        <color theme="1"/>
        <rFont val="Calibri"/>
        <family val="2"/>
        <scheme val="minor"/>
      </rPr>
      <t>38</t>
    </r>
    <r>
      <rPr>
        <sz val="11"/>
        <color theme="1"/>
        <rFont val="Calibri"/>
        <family val="2"/>
        <scheme val="minor"/>
      </rPr>
      <t>Main Street Lighting. (n.d.) Fiberglass and aluminum light poles: Which is your best option? Retrieved from https://mainstreetlighting.com/blog/view/fiberglass-and-aluminum-lamp-poles-which-is-your-best-option/#:~:text=Advantages%20of%20Aluminum%20Light%20Poles,smooth%20and%20fluted%20surface%20finishes.</t>
    </r>
  </si>
  <si>
    <r>
      <rPr>
        <vertAlign val="superscript"/>
        <sz val="11"/>
        <color theme="1"/>
        <rFont val="Calibri"/>
        <family val="2"/>
        <scheme val="minor"/>
      </rPr>
      <t>39</t>
    </r>
    <r>
      <rPr>
        <sz val="11"/>
        <color theme="1"/>
        <rFont val="Calibri"/>
        <family val="2"/>
        <scheme val="minor"/>
      </rPr>
      <t xml:space="preserve">Morrell, J. (2016). Estimated service life of wood poles, No. 16-U-101. North American Wood Pole Council Technical Bulletin. Retrieved from https://woodpoles.org/portals/2/documents/TB_ServiceLife.pdf. </t>
    </r>
  </si>
  <si>
    <r>
      <rPr>
        <vertAlign val="superscript"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>Munkelt, G. (2010). Durability in the precast concrete product. National Precast Concrete Association. Retrieved from https://precast.org/2010/05/durability-in-the-precast-product/.</t>
    </r>
  </si>
  <si>
    <r>
      <rPr>
        <vertAlign val="superscript"/>
        <sz val="11"/>
        <color theme="1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>Xcel Energy. (2014). Overhead vs. underground: Information about burying high-voltage transmission lines. Retrieved from https://www.xcelenergy.com/staticfiles/xe/Corporate/Corporate%20PDFs/OverheadVsUnderground_FactSheet.pdf.</t>
    </r>
  </si>
  <si>
    <r>
      <rPr>
        <vertAlign val="superscript"/>
        <sz val="11"/>
        <color theme="1"/>
        <rFont val="Calibri"/>
        <family val="2"/>
        <scheme val="minor"/>
      </rPr>
      <t>42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</si>
  <si>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Trenchlesspedia. (2018). Infographic: The lifespan of steel, clay, HDPE, and PVC pipes. Retrieved from https://www.trenchlesspedia.com/infographic-the-lifespan-of-steel-clay-hdpe-and-pvc-pipes/2/4135.</t>
    </r>
  </si>
  <si>
    <r>
      <rPr>
        <vertAlign val="superscript"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</si>
  <si>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</si>
  <si>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</si>
  <si>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 xml:space="preserve">Restoration Engineering, Inc. (2014). 2013 Replacement reserve study Fairlington Glen Condominium (2nd Rev. ed). Retrieved from https://www.fairlington.org/Glen2013ReserveStudy.pdf. </t>
    </r>
  </si>
  <si>
    <r>
      <rPr>
        <vertAlign val="superscript"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 xml:space="preserve">Lancaster Pipeline. (n.d.). Williams Transco Central Penn Line South:
A citizen's guide. Retrieved from http://www.lancasterpipeline.org/pipeline-lifetime.
</t>
    </r>
  </si>
  <si>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Mara, K. (n.d.). Cost-effectiveness of underground power lines. HiLine Engineering. Retrieved from https://woodpoles.org/portals/2/documents/Mara_Undergrounding.pdf.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</si>
  <si>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Mara, K. (n.d.). Cost-effectiveness of underground power lines. HiLine Engineering. Retrieved from https://woodpoles.org/portals/2/documents/Mara_Undergrounding.pdf.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</si>
  <si>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</si>
  <si>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Hale, D. (Ed.). (2020). Site Work &amp; Landscape Costs with RSMeans Data. (39th ed.). Rockland, MA: Construction Publishers and Consultants, p. 380.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</si>
  <si>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Ibid., p. 663.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</si>
  <si>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Ibid., p. 379.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</si>
  <si>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</si>
  <si>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</si>
  <si>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Ibid., p. 708.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</si>
  <si>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Ibid., p. 710.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</si>
  <si>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Ibid., p. 505, 699.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</si>
  <si>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Ibid., p. 506, 699.</t>
    </r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</si>
  <si>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Ibid., p. 281, 720.</t>
    </r>
  </si>
  <si>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</si>
  <si>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Ibid., p. 720.</t>
    </r>
  </si>
  <si>
    <r>
      <rPr>
        <vertAlign val="super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Ibid., p. 718.</t>
    </r>
  </si>
  <si>
    <r>
      <rPr>
        <vertAlign val="super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Ibid.</t>
    </r>
  </si>
  <si>
    <r>
      <rPr>
        <vertAlign val="super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Ibid., p. 699.</t>
    </r>
  </si>
  <si>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Ibid., p. 708.</t>
    </r>
  </si>
  <si>
    <r>
      <rPr>
        <vertAlign val="super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Ibid., p. 714.</t>
    </r>
  </si>
  <si>
    <r>
      <t>All costs (except asphalt road) multiplied by 0.869 to account for lower costs in the Nashville market.</t>
    </r>
    <r>
      <rPr>
        <vertAlign val="superscript"/>
        <sz val="11"/>
        <color theme="1"/>
        <rFont val="Calibri"/>
        <family val="2"/>
        <scheme val="minor"/>
      </rPr>
      <t>49</t>
    </r>
  </si>
  <si>
    <r>
      <t>49</t>
    </r>
    <r>
      <rPr>
        <sz val="11"/>
        <color theme="1"/>
        <rFont val="Calibri"/>
        <family val="2"/>
        <scheme val="minor"/>
      </rPr>
      <t>Hale, D. (Ed.). (2020). Site Work &amp; Landscape Costs with RSMeans Data. (39th ed.). Rockland, MA: Construction Publishers and Consultants, p. 810.</t>
    </r>
  </si>
  <si>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Hale, D. (Ed.). (2020). Site Work &amp; Landscape Costs with RSMeans Data. (39th ed.). Rockland, MA: Construction Publishers and Consultants, p. 691.</t>
    </r>
  </si>
  <si>
    <t>References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</si>
  <si>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Rogers, D. (personal communication, March 23, 2020).</t>
    </r>
  </si>
  <si>
    <r>
      <rPr>
        <vertAlign val="super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Rogers, D. (personal communication, March 23,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</si>
</sst>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 applyFill="1"/>
    <xf numFmtId="164" fontId="0" fillId="0" borderId="0" xfId="0" applyNumberFormat="1" applyFill="1"/>
    <xf numFmtId="8" fontId="0" fillId="0" borderId="0" xfId="0" applyNumberFormat="1" applyFill="1"/>
    <xf numFmtId="6" fontId="0" fillId="0" borderId="0" xfId="0" applyNumberFormat="1" applyFill="1"/>
    <xf numFmtId="0" fontId="0" fillId="0" borderId="1" xfId="0" applyFill="1" applyBorder="1"/>
    <xf numFmtId="8" fontId="0" fillId="0" borderId="0" xfId="0" applyNumberFormat="1"/>
    <xf numFmtId="6" fontId="0" fillId="0" borderId="0" xfId="0" applyNumberFormat="1"/>
    <xf numFmtId="2" fontId="0" fillId="0" borderId="0" xfId="0" applyNumberFormat="1" applyFill="1"/>
    <xf numFmtId="0" fontId="0" fillId="0" borderId="0" xfId="0" applyFill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2"/>
  <sheetViews>
    <sheetView tabSelected="1" workbookViewId="0">
      <selection activeCell="B85" sqref="B85"/>
    </sheetView>
  </sheetViews>
  <sheetFormatPr baseColWidth="10" defaultColWidth="8.83203125" defaultRowHeight="15" x14ac:dyDescent="0.2"/>
  <cols>
    <col min="1" max="1" width="12.33203125" bestFit="1" customWidth="1"/>
    <col min="2" max="2" width="81" customWidth="1"/>
    <col min="3" max="3" width="17.6640625" customWidth="1"/>
    <col min="4" max="5" width="13.6640625" customWidth="1"/>
    <col min="6" max="6" width="12" customWidth="1"/>
    <col min="7" max="7" width="10" customWidth="1"/>
    <col min="8" max="8" width="10.6640625" customWidth="1"/>
    <col min="9" max="9" width="9.5" customWidth="1"/>
    <col min="10" max="10" width="10.83203125" customWidth="1"/>
    <col min="11" max="11" width="10.6640625" customWidth="1"/>
    <col min="12" max="12" width="8.83203125" customWidth="1"/>
    <col min="13" max="14" width="10.83203125" customWidth="1"/>
    <col min="15" max="15" width="8.83203125" customWidth="1"/>
    <col min="16" max="17" width="10.83203125" customWidth="1"/>
    <col min="18" max="18" width="9.1640625" customWidth="1"/>
    <col min="19" max="20" width="10.83203125" customWidth="1"/>
    <col min="21" max="21" width="9.1640625" customWidth="1"/>
    <col min="22" max="22" width="10.83203125" customWidth="1"/>
    <col min="23" max="23" width="12.6640625" customWidth="1"/>
    <col min="24" max="24" width="8.83203125" customWidth="1"/>
    <col min="25" max="26" width="10.83203125" customWidth="1"/>
    <col min="27" max="27" width="9.1640625" customWidth="1"/>
    <col min="28" max="29" width="10.83203125" customWidth="1"/>
    <col min="30" max="30" width="9.1640625" customWidth="1"/>
    <col min="31" max="32" width="10.83203125" customWidth="1"/>
    <col min="33" max="33" width="9.1640625" customWidth="1"/>
    <col min="34" max="35" width="10.83203125" customWidth="1"/>
    <col min="36" max="36" width="9.1640625" customWidth="1"/>
    <col min="37" max="38" width="10.83203125" customWidth="1"/>
    <col min="39" max="39" width="9.1640625" customWidth="1"/>
    <col min="40" max="40" width="10.83203125" bestFit="1" customWidth="1"/>
    <col min="41" max="41" width="10.6640625" bestFit="1" customWidth="1"/>
  </cols>
  <sheetData>
    <row r="1" spans="1:41" x14ac:dyDescent="0.2">
      <c r="F1" s="13" t="s">
        <v>0</v>
      </c>
      <c r="G1" s="13"/>
      <c r="H1" s="13"/>
      <c r="I1" s="13" t="s">
        <v>27</v>
      </c>
      <c r="J1" s="13"/>
      <c r="K1" s="13"/>
      <c r="L1" s="13" t="s">
        <v>30</v>
      </c>
      <c r="M1" s="13"/>
      <c r="N1" s="13"/>
      <c r="O1" s="13" t="s">
        <v>31</v>
      </c>
      <c r="P1" s="13"/>
      <c r="Q1" s="13"/>
      <c r="R1" s="13" t="s">
        <v>32</v>
      </c>
      <c r="S1" s="13"/>
      <c r="T1" s="13"/>
      <c r="U1" s="13" t="s">
        <v>33</v>
      </c>
      <c r="V1" s="13"/>
      <c r="W1" s="13"/>
      <c r="X1" s="13" t="s">
        <v>34</v>
      </c>
      <c r="Y1" s="13"/>
      <c r="Z1" s="13"/>
      <c r="AA1" s="13" t="s">
        <v>35</v>
      </c>
      <c r="AB1" s="13"/>
      <c r="AC1" s="13"/>
      <c r="AD1" s="13" t="s">
        <v>36</v>
      </c>
      <c r="AE1" s="13"/>
      <c r="AF1" s="13"/>
      <c r="AG1" s="13" t="s">
        <v>37</v>
      </c>
      <c r="AH1" s="13"/>
      <c r="AI1" s="13"/>
      <c r="AJ1" s="13" t="s">
        <v>38</v>
      </c>
      <c r="AK1" s="13"/>
      <c r="AL1" s="13"/>
      <c r="AM1" s="13" t="s">
        <v>39</v>
      </c>
      <c r="AN1" s="13"/>
      <c r="AO1" s="13"/>
    </row>
    <row r="2" spans="1:41" s="3" customFormat="1" x14ac:dyDescent="0.2">
      <c r="C2" s="3" t="s">
        <v>3</v>
      </c>
      <c r="D2" s="3" t="s">
        <v>28</v>
      </c>
      <c r="E2" s="3" t="s">
        <v>92</v>
      </c>
      <c r="F2" s="3" t="s">
        <v>2</v>
      </c>
      <c r="G2" s="3" t="s">
        <v>42</v>
      </c>
      <c r="H2" s="3" t="s">
        <v>43</v>
      </c>
      <c r="I2" s="3" t="s">
        <v>2</v>
      </c>
      <c r="J2" s="3" t="s">
        <v>26</v>
      </c>
      <c r="K2" s="3" t="s">
        <v>43</v>
      </c>
      <c r="L2" s="3" t="s">
        <v>2</v>
      </c>
      <c r="M2" s="3" t="s">
        <v>26</v>
      </c>
      <c r="N2" s="3" t="s">
        <v>43</v>
      </c>
      <c r="O2" s="3" t="s">
        <v>2</v>
      </c>
      <c r="P2" s="3" t="s">
        <v>26</v>
      </c>
      <c r="Q2" s="3" t="s">
        <v>43</v>
      </c>
      <c r="R2" s="3" t="s">
        <v>2</v>
      </c>
      <c r="S2" s="3" t="s">
        <v>26</v>
      </c>
      <c r="T2" s="3" t="s">
        <v>43</v>
      </c>
      <c r="U2" s="3" t="s">
        <v>2</v>
      </c>
      <c r="V2" s="3" t="s">
        <v>26</v>
      </c>
      <c r="W2" s="3" t="s">
        <v>43</v>
      </c>
      <c r="X2" s="3" t="s">
        <v>2</v>
      </c>
      <c r="Y2" s="3" t="s">
        <v>26</v>
      </c>
      <c r="Z2" s="3" t="s">
        <v>43</v>
      </c>
      <c r="AA2" s="3" t="s">
        <v>2</v>
      </c>
      <c r="AB2" s="3" t="s">
        <v>26</v>
      </c>
      <c r="AC2" s="3" t="s">
        <v>43</v>
      </c>
      <c r="AD2" s="3" t="s">
        <v>2</v>
      </c>
      <c r="AE2" s="3" t="s">
        <v>26</v>
      </c>
      <c r="AF2" s="3" t="s">
        <v>43</v>
      </c>
      <c r="AG2" s="3" t="s">
        <v>2</v>
      </c>
      <c r="AH2" s="3" t="s">
        <v>26</v>
      </c>
      <c r="AI2" s="3" t="s">
        <v>43</v>
      </c>
      <c r="AJ2" s="3" t="s">
        <v>2</v>
      </c>
      <c r="AK2" s="3" t="s">
        <v>26</v>
      </c>
      <c r="AL2" s="3" t="s">
        <v>43</v>
      </c>
      <c r="AM2" s="3" t="s">
        <v>2</v>
      </c>
      <c r="AN2" s="3" t="s">
        <v>26</v>
      </c>
      <c r="AO2" s="3" t="s">
        <v>43</v>
      </c>
    </row>
    <row r="3" spans="1:41" s="3" customFormat="1" x14ac:dyDescent="0.2">
      <c r="A3" s="3" t="s">
        <v>40</v>
      </c>
    </row>
    <row r="4" spans="1:41" s="3" customFormat="1" ht="17" x14ac:dyDescent="0.2">
      <c r="B4" s="3" t="s">
        <v>29</v>
      </c>
      <c r="C4" s="4">
        <v>107960</v>
      </c>
      <c r="D4" s="3" t="s">
        <v>107</v>
      </c>
      <c r="E4" s="3" t="s">
        <v>115</v>
      </c>
      <c r="F4" s="3">
        <v>0.09</v>
      </c>
      <c r="G4" s="4">
        <f>C4*F4</f>
        <v>9716.4</v>
      </c>
      <c r="H4" s="4">
        <f>G4/14</f>
        <v>694.02857142857135</v>
      </c>
      <c r="I4" s="3">
        <v>0.19</v>
      </c>
      <c r="J4" s="4">
        <f>C4*I4</f>
        <v>20512.400000000001</v>
      </c>
      <c r="K4" s="4">
        <f>J4/14</f>
        <v>1465.1714285714286</v>
      </c>
      <c r="L4" s="3">
        <v>0.15</v>
      </c>
      <c r="M4" s="4">
        <f t="shared" ref="M4:M8" si="0">C4*L4</f>
        <v>16194</v>
      </c>
      <c r="N4" s="4">
        <f>M4/14</f>
        <v>1156.7142857142858</v>
      </c>
      <c r="O4" s="3">
        <v>0.26</v>
      </c>
      <c r="P4" s="4">
        <f t="shared" ref="P4:P8" si="1">C4*O4</f>
        <v>28069.600000000002</v>
      </c>
      <c r="Q4" s="4">
        <f>P4/14</f>
        <v>2004.9714285714288</v>
      </c>
      <c r="R4" s="3">
        <v>0.25</v>
      </c>
      <c r="S4" s="4">
        <f t="shared" ref="S4:S8" si="2">C4*R4</f>
        <v>26990</v>
      </c>
      <c r="T4" s="4">
        <f>S4/14</f>
        <v>1927.8571428571429</v>
      </c>
      <c r="U4" s="3">
        <v>0.1</v>
      </c>
      <c r="V4" s="4">
        <f t="shared" ref="V4:V8" si="3">C4*U4</f>
        <v>10796</v>
      </c>
      <c r="W4" s="4">
        <f>V4/14</f>
        <v>771.14285714285711</v>
      </c>
      <c r="X4" s="3">
        <v>0.08</v>
      </c>
      <c r="Y4" s="4">
        <f t="shared" ref="Y4:Y8" si="4">C4*X4</f>
        <v>8636.7999999999993</v>
      </c>
      <c r="Z4" s="4">
        <f>Y4/14</f>
        <v>616.91428571428571</v>
      </c>
      <c r="AA4" s="3">
        <v>0.12</v>
      </c>
      <c r="AB4" s="4">
        <f t="shared" ref="AB4:AB8" si="5">C4*AA4</f>
        <v>12955.199999999999</v>
      </c>
      <c r="AC4" s="4">
        <f>AB4/14</f>
        <v>925.37142857142851</v>
      </c>
      <c r="AD4" s="3">
        <v>0.15</v>
      </c>
      <c r="AE4" s="4">
        <f>C4*AD4</f>
        <v>16194</v>
      </c>
      <c r="AF4" s="4">
        <f>AE4/14</f>
        <v>1156.7142857142858</v>
      </c>
      <c r="AG4" s="3">
        <v>0.17</v>
      </c>
      <c r="AH4" s="4">
        <f>C4*AG4</f>
        <v>18353.2</v>
      </c>
      <c r="AI4" s="4">
        <f>AH4/14</f>
        <v>1310.9428571428573</v>
      </c>
      <c r="AJ4" s="3">
        <v>0.26</v>
      </c>
      <c r="AK4" s="4">
        <f>C4*AJ4</f>
        <v>28069.600000000002</v>
      </c>
      <c r="AL4" s="4">
        <f>AK4/14</f>
        <v>2004.9714285714288</v>
      </c>
      <c r="AM4" s="3">
        <v>0.13</v>
      </c>
      <c r="AN4" s="4">
        <f>C4*AM4</f>
        <v>14034.800000000001</v>
      </c>
      <c r="AO4" s="4">
        <f>AN4/14</f>
        <v>1002.4857142857144</v>
      </c>
    </row>
    <row r="5" spans="1:41" s="3" customFormat="1" ht="17" x14ac:dyDescent="0.2">
      <c r="B5" s="3" t="s">
        <v>1</v>
      </c>
      <c r="C5" s="4">
        <v>25.2</v>
      </c>
      <c r="D5" s="3" t="s">
        <v>86</v>
      </c>
      <c r="E5" s="3" t="s">
        <v>116</v>
      </c>
      <c r="F5" s="3">
        <v>0</v>
      </c>
      <c r="G5" s="4">
        <f t="shared" ref="G5:G47" si="6">C5*F5</f>
        <v>0</v>
      </c>
      <c r="H5" s="4">
        <f>G5/20</f>
        <v>0</v>
      </c>
      <c r="I5" s="3">
        <v>0</v>
      </c>
      <c r="J5" s="4">
        <f t="shared" ref="J5:J47" si="7">C5*I5</f>
        <v>0</v>
      </c>
      <c r="K5" s="4">
        <f>J5/20</f>
        <v>0</v>
      </c>
      <c r="L5" s="3">
        <v>0</v>
      </c>
      <c r="M5" s="4">
        <f t="shared" si="0"/>
        <v>0</v>
      </c>
      <c r="N5" s="4">
        <f>M5/20</f>
        <v>0</v>
      </c>
      <c r="O5" s="3">
        <v>0</v>
      </c>
      <c r="P5" s="4">
        <f t="shared" si="1"/>
        <v>0</v>
      </c>
      <c r="Q5" s="4">
        <f>P5/20</f>
        <v>0</v>
      </c>
      <c r="R5" s="3">
        <v>0</v>
      </c>
      <c r="S5" s="4">
        <f t="shared" si="2"/>
        <v>0</v>
      </c>
      <c r="T5" s="4">
        <f>S5/20</f>
        <v>0</v>
      </c>
      <c r="U5" s="3">
        <v>0</v>
      </c>
      <c r="V5" s="4">
        <f t="shared" si="3"/>
        <v>0</v>
      </c>
      <c r="W5" s="4">
        <f>V5/20</f>
        <v>0</v>
      </c>
      <c r="X5" s="3">
        <v>845</v>
      </c>
      <c r="Y5" s="4">
        <f t="shared" si="4"/>
        <v>21294</v>
      </c>
      <c r="Z5" s="4">
        <f>Y5/20</f>
        <v>1064.7</v>
      </c>
      <c r="AA5" s="3">
        <v>1320</v>
      </c>
      <c r="AB5" s="4">
        <f t="shared" si="5"/>
        <v>33264</v>
      </c>
      <c r="AC5" s="4">
        <f>AB5/20</f>
        <v>1663.2</v>
      </c>
      <c r="AD5" s="3">
        <v>0</v>
      </c>
      <c r="AE5" s="4">
        <f>C5*AD5</f>
        <v>0</v>
      </c>
      <c r="AF5" s="4">
        <f>AE5/20</f>
        <v>0</v>
      </c>
      <c r="AG5" s="3">
        <v>0</v>
      </c>
      <c r="AH5" s="4">
        <f>C5*AG5</f>
        <v>0</v>
      </c>
      <c r="AI5" s="4">
        <f>AH5/20</f>
        <v>0</v>
      </c>
      <c r="AJ5" s="3">
        <v>0</v>
      </c>
      <c r="AK5" s="4">
        <f>C5*AJ5</f>
        <v>0</v>
      </c>
      <c r="AL5" s="4">
        <f>AK5/20</f>
        <v>0</v>
      </c>
      <c r="AM5" s="3">
        <v>0</v>
      </c>
      <c r="AN5" s="4">
        <f>C5*AM5</f>
        <v>0</v>
      </c>
      <c r="AO5" s="4">
        <f>AN5/20</f>
        <v>0</v>
      </c>
    </row>
    <row r="6" spans="1:41" s="3" customFormat="1" ht="17" x14ac:dyDescent="0.2">
      <c r="B6" s="3" t="s">
        <v>7</v>
      </c>
      <c r="C6" s="4">
        <v>37.5</v>
      </c>
      <c r="D6" s="3" t="s">
        <v>87</v>
      </c>
      <c r="E6" s="3" t="s">
        <v>117</v>
      </c>
      <c r="F6" s="3">
        <v>0</v>
      </c>
      <c r="G6" s="4">
        <f t="shared" si="6"/>
        <v>0</v>
      </c>
      <c r="H6" s="4">
        <f>G6/25</f>
        <v>0</v>
      </c>
      <c r="I6" s="3">
        <v>0</v>
      </c>
      <c r="J6" s="4">
        <f t="shared" si="7"/>
        <v>0</v>
      </c>
      <c r="K6" s="4">
        <f>J6/25</f>
        <v>0</v>
      </c>
      <c r="L6" s="3">
        <v>0</v>
      </c>
      <c r="M6" s="4">
        <f t="shared" si="0"/>
        <v>0</v>
      </c>
      <c r="N6" s="4">
        <f>M6/25</f>
        <v>0</v>
      </c>
      <c r="O6" s="3">
        <v>0</v>
      </c>
      <c r="P6" s="4">
        <f t="shared" si="1"/>
        <v>0</v>
      </c>
      <c r="Q6" s="4">
        <f>P6/25</f>
        <v>0</v>
      </c>
      <c r="R6" s="3">
        <v>2693</v>
      </c>
      <c r="S6" s="4">
        <f t="shared" si="2"/>
        <v>100987.5</v>
      </c>
      <c r="T6" s="4">
        <f>S6/25</f>
        <v>4039.5</v>
      </c>
      <c r="U6" s="3">
        <v>0</v>
      </c>
      <c r="V6" s="4">
        <f t="shared" si="3"/>
        <v>0</v>
      </c>
      <c r="W6" s="4">
        <f>V6/25</f>
        <v>0</v>
      </c>
      <c r="X6" s="3">
        <v>845</v>
      </c>
      <c r="Y6" s="4">
        <f t="shared" si="4"/>
        <v>31687.5</v>
      </c>
      <c r="Z6" s="4">
        <f>Y6/25</f>
        <v>1267.5</v>
      </c>
      <c r="AA6" s="3">
        <v>1373</v>
      </c>
      <c r="AB6" s="4">
        <f t="shared" si="5"/>
        <v>51487.5</v>
      </c>
      <c r="AC6" s="4">
        <f>AB6/25</f>
        <v>2059.5</v>
      </c>
      <c r="AD6" s="3">
        <v>0</v>
      </c>
      <c r="AE6" s="4">
        <f>C6*AD6</f>
        <v>0</v>
      </c>
      <c r="AF6" s="4">
        <f>AE6/25</f>
        <v>0</v>
      </c>
      <c r="AG6" s="3">
        <v>1832</v>
      </c>
      <c r="AH6" s="4">
        <f>C6*AG6</f>
        <v>68700</v>
      </c>
      <c r="AI6" s="4">
        <f>AH6/25</f>
        <v>2748</v>
      </c>
      <c r="AJ6" s="3">
        <v>0</v>
      </c>
      <c r="AK6" s="4">
        <f>C6*AJ6</f>
        <v>0</v>
      </c>
      <c r="AL6" s="4">
        <f>AK6/25</f>
        <v>0</v>
      </c>
      <c r="AM6" s="3">
        <v>1431</v>
      </c>
      <c r="AN6" s="4">
        <f>C6*AM6</f>
        <v>53662.5</v>
      </c>
      <c r="AO6" s="4">
        <f>AN6/25</f>
        <v>2146.5</v>
      </c>
    </row>
    <row r="7" spans="1:41" s="3" customFormat="1" ht="17" x14ac:dyDescent="0.2">
      <c r="B7" s="3" t="s">
        <v>4</v>
      </c>
      <c r="C7" s="4">
        <v>12.8612</v>
      </c>
      <c r="D7" s="3" t="s">
        <v>88</v>
      </c>
      <c r="E7" s="3" t="s">
        <v>118</v>
      </c>
      <c r="F7" s="3">
        <v>0</v>
      </c>
      <c r="G7" s="4">
        <f t="shared" si="6"/>
        <v>0</v>
      </c>
      <c r="H7" s="4">
        <f>G7/20</f>
        <v>0</v>
      </c>
      <c r="I7" s="3">
        <v>0</v>
      </c>
      <c r="J7" s="4">
        <f t="shared" si="7"/>
        <v>0</v>
      </c>
      <c r="K7" s="4">
        <f>J7/20</f>
        <v>0</v>
      </c>
      <c r="L7" s="3">
        <v>0</v>
      </c>
      <c r="M7" s="4">
        <f t="shared" si="0"/>
        <v>0</v>
      </c>
      <c r="N7" s="4">
        <f>M7/20</f>
        <v>0</v>
      </c>
      <c r="O7" s="3">
        <v>2375</v>
      </c>
      <c r="P7" s="4">
        <f t="shared" si="1"/>
        <v>30545.350000000002</v>
      </c>
      <c r="Q7" s="4">
        <f>P7/20</f>
        <v>1527.2675000000002</v>
      </c>
      <c r="R7" s="3">
        <v>1848</v>
      </c>
      <c r="S7" s="4">
        <f t="shared" si="2"/>
        <v>23767.497599999999</v>
      </c>
      <c r="T7" s="4">
        <f>S7/20</f>
        <v>1188.3748799999998</v>
      </c>
      <c r="U7" s="3">
        <v>710</v>
      </c>
      <c r="V7" s="4">
        <f t="shared" si="3"/>
        <v>9131.4519999999993</v>
      </c>
      <c r="W7" s="4">
        <f>V7/20</f>
        <v>456.57259999999997</v>
      </c>
      <c r="X7" s="3">
        <v>0</v>
      </c>
      <c r="Y7" s="4">
        <f t="shared" si="4"/>
        <v>0</v>
      </c>
      <c r="Z7" s="4">
        <f>Y7/20</f>
        <v>0</v>
      </c>
      <c r="AA7" s="3">
        <v>0</v>
      </c>
      <c r="AB7" s="4">
        <f t="shared" si="5"/>
        <v>0</v>
      </c>
      <c r="AC7" s="4">
        <f>AB7/20</f>
        <v>0</v>
      </c>
      <c r="AD7" s="3">
        <v>1391</v>
      </c>
      <c r="AE7" s="4">
        <f>C7*AD7</f>
        <v>17889.929199999999</v>
      </c>
      <c r="AF7" s="4">
        <f>AE7/20</f>
        <v>894.49645999999996</v>
      </c>
      <c r="AG7" s="3">
        <v>1590</v>
      </c>
      <c r="AH7" s="4">
        <f>C7*AG7</f>
        <v>20449.308000000001</v>
      </c>
      <c r="AI7" s="4">
        <f>AH7/20</f>
        <v>1022.4654</v>
      </c>
      <c r="AJ7" s="3">
        <v>2251</v>
      </c>
      <c r="AK7" s="4">
        <f>C7*AJ7</f>
        <v>28950.5612</v>
      </c>
      <c r="AL7" s="4">
        <f>AK7/20</f>
        <v>1447.5280600000001</v>
      </c>
      <c r="AM7" s="3">
        <v>887</v>
      </c>
      <c r="AN7" s="4">
        <f>C7*AM7</f>
        <v>11407.884400000001</v>
      </c>
      <c r="AO7" s="4">
        <f>AN7/20</f>
        <v>570.39422000000002</v>
      </c>
    </row>
    <row r="8" spans="1:41" s="3" customFormat="1" ht="17" x14ac:dyDescent="0.2">
      <c r="B8" s="3" t="s">
        <v>5</v>
      </c>
      <c r="C8" s="4">
        <v>22.594000000000001</v>
      </c>
      <c r="D8" s="3" t="s">
        <v>89</v>
      </c>
      <c r="E8" s="3" t="s">
        <v>119</v>
      </c>
      <c r="F8" s="3">
        <v>0</v>
      </c>
      <c r="G8" s="4">
        <f t="shared" si="6"/>
        <v>0</v>
      </c>
      <c r="H8" s="4">
        <f>G8/20</f>
        <v>0</v>
      </c>
      <c r="I8" s="3">
        <v>0</v>
      </c>
      <c r="J8" s="4">
        <f t="shared" si="7"/>
        <v>0</v>
      </c>
      <c r="K8" s="4">
        <f>J8/20</f>
        <v>0</v>
      </c>
      <c r="L8" s="3">
        <v>0</v>
      </c>
      <c r="M8" s="4">
        <f t="shared" si="0"/>
        <v>0</v>
      </c>
      <c r="N8" s="4">
        <f>M8/20</f>
        <v>0</v>
      </c>
      <c r="O8" s="3">
        <v>363</v>
      </c>
      <c r="P8" s="4">
        <f t="shared" si="1"/>
        <v>8201.6220000000012</v>
      </c>
      <c r="Q8" s="4">
        <f>P8/20</f>
        <v>410.08110000000005</v>
      </c>
      <c r="R8" s="3">
        <v>792</v>
      </c>
      <c r="S8" s="4">
        <f t="shared" si="2"/>
        <v>17894.448</v>
      </c>
      <c r="T8" s="4">
        <f>S8/20</f>
        <v>894.72239999999999</v>
      </c>
      <c r="U8" s="3">
        <v>346</v>
      </c>
      <c r="V8" s="4">
        <f t="shared" si="3"/>
        <v>7817.5240000000003</v>
      </c>
      <c r="W8" s="4">
        <f>V8/20</f>
        <v>390.87620000000004</v>
      </c>
      <c r="X8" s="3">
        <v>0</v>
      </c>
      <c r="Y8" s="4">
        <f t="shared" si="4"/>
        <v>0</v>
      </c>
      <c r="Z8" s="4">
        <f>Y8/20</f>
        <v>0</v>
      </c>
      <c r="AA8" s="3">
        <v>0</v>
      </c>
      <c r="AB8" s="4">
        <f t="shared" si="5"/>
        <v>0</v>
      </c>
      <c r="AC8" s="4">
        <f>AB8/20</f>
        <v>0</v>
      </c>
      <c r="AD8" s="3">
        <v>249</v>
      </c>
      <c r="AE8" s="4">
        <f>C8*AD8</f>
        <v>5625.9059999999999</v>
      </c>
      <c r="AF8" s="4">
        <f>AE8/20</f>
        <v>281.2953</v>
      </c>
      <c r="AG8" s="3">
        <v>216</v>
      </c>
      <c r="AH8" s="4">
        <f>C8*AG8</f>
        <v>4880.3040000000001</v>
      </c>
      <c r="AI8" s="4">
        <f>AH8/20</f>
        <v>244.01519999999999</v>
      </c>
      <c r="AJ8" s="3">
        <v>520</v>
      </c>
      <c r="AK8" s="4">
        <f>C8*AJ8</f>
        <v>11748.880000000001</v>
      </c>
      <c r="AL8" s="4">
        <f>AK8/20</f>
        <v>587.44400000000007</v>
      </c>
      <c r="AM8" s="3">
        <v>528</v>
      </c>
      <c r="AN8" s="4">
        <f>C8*AM8</f>
        <v>11929.632000000001</v>
      </c>
      <c r="AO8" s="4">
        <f>AN8/20</f>
        <v>596.48160000000007</v>
      </c>
    </row>
    <row r="9" spans="1:41" s="3" customFormat="1" x14ac:dyDescent="0.2">
      <c r="A9" s="14" t="s">
        <v>46</v>
      </c>
      <c r="B9" s="14"/>
      <c r="C9" s="4"/>
      <c r="G9" s="4">
        <f>SUM(G4:G8)</f>
        <v>9716.4</v>
      </c>
      <c r="H9" s="4">
        <f>SUM(H4:H8)</f>
        <v>694.02857142857135</v>
      </c>
      <c r="J9" s="4">
        <f>SUM(J4:J8)</f>
        <v>20512.400000000001</v>
      </c>
      <c r="K9" s="4">
        <f>SUM(K4:K8)</f>
        <v>1465.1714285714286</v>
      </c>
      <c r="M9" s="4">
        <f>SUM(M4:M8)</f>
        <v>16194</v>
      </c>
      <c r="N9" s="4">
        <f>SUM(N4:N8)</f>
        <v>1156.7142857142858</v>
      </c>
      <c r="P9" s="4">
        <f>SUM(P4:P8)</f>
        <v>66816.572</v>
      </c>
      <c r="Q9" s="4">
        <f>SUM(Q4:Q8)</f>
        <v>3942.3200285714288</v>
      </c>
      <c r="S9" s="4">
        <f>SUM(S4:S8)</f>
        <v>169639.44560000001</v>
      </c>
      <c r="T9" s="4">
        <f>SUM(T4:T8)</f>
        <v>8050.4544228571422</v>
      </c>
      <c r="V9" s="4">
        <f>SUM(V4:V8)</f>
        <v>27744.975999999999</v>
      </c>
      <c r="W9" s="4">
        <f>SUM(W4:W8)</f>
        <v>1618.591657142857</v>
      </c>
      <c r="Y9" s="4">
        <f>SUM(Y4:Y8)</f>
        <v>61618.3</v>
      </c>
      <c r="Z9" s="4">
        <f>SUM(Z4:Z8)</f>
        <v>2949.1142857142859</v>
      </c>
      <c r="AB9" s="4">
        <f>SUM(AB4:AB8)</f>
        <v>97706.7</v>
      </c>
      <c r="AC9" s="4">
        <f>SUM(AC4:AC8)</f>
        <v>4648.0714285714284</v>
      </c>
      <c r="AE9" s="4">
        <f>SUM(AE4:AE8)</f>
        <v>39709.835200000001</v>
      </c>
      <c r="AF9" s="4">
        <f>SUM(AF4:AF8)</f>
        <v>2332.5060457142854</v>
      </c>
      <c r="AH9" s="4">
        <f>SUM(AH4:AH8)</f>
        <v>112382.81200000001</v>
      </c>
      <c r="AI9" s="4">
        <f>SUM(AI4:AI8)</f>
        <v>5325.4234571428569</v>
      </c>
      <c r="AK9" s="4">
        <f>SUM(AK4:AK8)</f>
        <v>68769.041200000007</v>
      </c>
      <c r="AL9" s="4">
        <f>SUM(AL4:AL8)</f>
        <v>4039.9434885714286</v>
      </c>
      <c r="AN9" s="4">
        <f>SUM(AN4:AN8)</f>
        <v>91034.816399999996</v>
      </c>
      <c r="AO9" s="4">
        <f>SUM(AO4:AO8)</f>
        <v>4315.8615342857147</v>
      </c>
    </row>
    <row r="10" spans="1:41" s="3" customFormat="1" x14ac:dyDescent="0.2">
      <c r="A10" s="14" t="s">
        <v>45</v>
      </c>
      <c r="B10" s="14"/>
      <c r="C10" s="4"/>
      <c r="G10" s="4"/>
      <c r="H10" s="4">
        <f>'Revenue totals'!E2</f>
        <v>638.04</v>
      </c>
      <c r="J10" s="4"/>
      <c r="K10" s="4">
        <f>'Revenue totals'!E3</f>
        <v>1382.42</v>
      </c>
      <c r="M10" s="4"/>
      <c r="N10" s="4">
        <f>'Revenue totals'!E4</f>
        <v>850.72</v>
      </c>
      <c r="P10" s="4"/>
      <c r="Q10" s="4">
        <f>'Revenue totals'!E5</f>
        <v>1541.93</v>
      </c>
      <c r="S10" s="4"/>
      <c r="T10" s="4">
        <f>'Revenue totals'!E6</f>
        <v>1648.27</v>
      </c>
      <c r="V10" s="4"/>
      <c r="W10" s="4">
        <f>'Revenue totals'!E7</f>
        <v>638.04</v>
      </c>
      <c r="Y10" s="4"/>
      <c r="Z10" s="4">
        <f>'Revenue totals'!E8</f>
        <v>638.04</v>
      </c>
      <c r="AB10" s="4"/>
      <c r="AC10" s="4">
        <f>'Revenue totals'!E9</f>
        <v>1222.9100000000001</v>
      </c>
      <c r="AE10" s="4"/>
      <c r="AF10" s="4">
        <f>'Revenue totals'!E10</f>
        <v>1010.23</v>
      </c>
      <c r="AH10" s="4"/>
      <c r="AI10" s="4">
        <f>'Revenue totals'!E11</f>
        <v>1116.57</v>
      </c>
      <c r="AK10" s="4"/>
      <c r="AL10" s="4">
        <f>'Revenue totals'!E12</f>
        <v>1701.44</v>
      </c>
      <c r="AN10" s="4"/>
      <c r="AO10" s="4">
        <f>'Revenue totals'!E13</f>
        <v>1010.23</v>
      </c>
    </row>
    <row r="11" spans="1:41" s="3" customFormat="1" x14ac:dyDescent="0.2">
      <c r="A11" s="14" t="s">
        <v>47</v>
      </c>
      <c r="B11" s="14"/>
      <c r="C11" s="4"/>
      <c r="G11" s="4"/>
      <c r="H11" s="4">
        <f>H10-H9</f>
        <v>-55.98857142857139</v>
      </c>
      <c r="I11" s="4"/>
      <c r="J11" s="4"/>
      <c r="K11" s="4">
        <f t="shared" ref="K11" si="8">K10-K9</f>
        <v>-82.751428571428505</v>
      </c>
      <c r="L11" s="4"/>
      <c r="M11" s="4"/>
      <c r="N11" s="4">
        <f t="shared" ref="N11" si="9">N10-N9</f>
        <v>-305.99428571428575</v>
      </c>
      <c r="O11" s="4"/>
      <c r="P11" s="4"/>
      <c r="Q11" s="4">
        <f t="shared" ref="Q11" si="10">Q10-Q9</f>
        <v>-2400.390028571429</v>
      </c>
      <c r="R11" s="4"/>
      <c r="S11" s="4"/>
      <c r="T11" s="4">
        <f t="shared" ref="T11" si="11">T10-T9</f>
        <v>-6402.1844228571426</v>
      </c>
      <c r="U11" s="4"/>
      <c r="V11" s="4"/>
      <c r="W11" s="4">
        <f t="shared" ref="W11" si="12">W10-W9</f>
        <v>-980.55165714285704</v>
      </c>
      <c r="X11" s="4"/>
      <c r="Y11" s="4"/>
      <c r="Z11" s="4">
        <f t="shared" ref="Z11" si="13">Z10-Z9</f>
        <v>-2311.0742857142859</v>
      </c>
      <c r="AA11" s="4"/>
      <c r="AB11" s="4"/>
      <c r="AC11" s="4">
        <f t="shared" ref="AC11" si="14">AC10-AC9</f>
        <v>-3425.1614285714286</v>
      </c>
      <c r="AD11" s="4"/>
      <c r="AE11" s="4"/>
      <c r="AF11" s="4">
        <f t="shared" ref="AF11" si="15">AF10-AF9</f>
        <v>-1322.2760457142854</v>
      </c>
      <c r="AG11" s="4"/>
      <c r="AH11" s="4"/>
      <c r="AI11" s="4">
        <f t="shared" ref="AI11" si="16">AI10-AI9</f>
        <v>-4208.8534571428572</v>
      </c>
      <c r="AJ11" s="4"/>
      <c r="AK11" s="4"/>
      <c r="AL11" s="4">
        <f t="shared" ref="AL11" si="17">AL10-AL9</f>
        <v>-2338.5034885714285</v>
      </c>
      <c r="AM11" s="4"/>
      <c r="AN11" s="4"/>
      <c r="AO11" s="4">
        <f t="shared" ref="AO11" si="18">AO10-AO9</f>
        <v>-3305.6315342857147</v>
      </c>
    </row>
    <row r="12" spans="1:41" s="3" customFormat="1" x14ac:dyDescent="0.2">
      <c r="A12" s="3" t="s">
        <v>8</v>
      </c>
      <c r="C12" s="4"/>
      <c r="G12" s="4"/>
      <c r="H12" s="4"/>
      <c r="J12" s="4"/>
      <c r="K12" s="4"/>
      <c r="M12" s="4"/>
      <c r="N12" s="4"/>
      <c r="P12" s="4"/>
      <c r="Q12" s="4"/>
      <c r="S12" s="4"/>
      <c r="T12" s="4"/>
      <c r="V12" s="4"/>
      <c r="W12" s="4"/>
      <c r="Y12" s="4"/>
      <c r="Z12" s="4"/>
      <c r="AB12" s="4"/>
      <c r="AC12" s="4"/>
      <c r="AE12" s="4"/>
      <c r="AF12" s="4"/>
      <c r="AH12" s="4"/>
      <c r="AI12" s="4"/>
      <c r="AK12" s="4"/>
      <c r="AL12" s="4"/>
      <c r="AN12" s="4"/>
    </row>
    <row r="13" spans="1:41" s="3" customFormat="1" ht="17" x14ac:dyDescent="0.2">
      <c r="B13" s="3" t="s">
        <v>25</v>
      </c>
      <c r="C13" s="4">
        <v>28.451060000000002</v>
      </c>
      <c r="D13" s="3" t="s">
        <v>90</v>
      </c>
      <c r="E13" s="3" t="s">
        <v>120</v>
      </c>
      <c r="F13" s="3">
        <v>0</v>
      </c>
      <c r="G13" s="4">
        <f t="shared" si="6"/>
        <v>0</v>
      </c>
      <c r="H13" s="4">
        <f>G13/50</f>
        <v>0</v>
      </c>
      <c r="I13" s="3">
        <v>0</v>
      </c>
      <c r="J13" s="4">
        <f t="shared" si="7"/>
        <v>0</v>
      </c>
      <c r="K13" s="4">
        <f>J13/50</f>
        <v>0</v>
      </c>
      <c r="L13" s="3">
        <v>0</v>
      </c>
      <c r="M13" s="4">
        <f t="shared" ref="M13:M18" si="19">C13*L13</f>
        <v>0</v>
      </c>
      <c r="N13" s="4">
        <f>M13/50</f>
        <v>0</v>
      </c>
      <c r="O13" s="3">
        <v>0</v>
      </c>
      <c r="P13" s="4">
        <f t="shared" ref="P13:P18" si="20">C13*O13</f>
        <v>0</v>
      </c>
      <c r="Q13" s="4">
        <f>P13/50</f>
        <v>0</v>
      </c>
      <c r="R13" s="3">
        <v>359</v>
      </c>
      <c r="S13" s="4">
        <f t="shared" ref="S13:S18" si="21">C13*R13</f>
        <v>10213.930540000001</v>
      </c>
      <c r="T13" s="4">
        <f>S13/50</f>
        <v>204.27861080000002</v>
      </c>
      <c r="U13" s="3">
        <v>222</v>
      </c>
      <c r="V13" s="4">
        <f t="shared" ref="V13:V18" si="22">C13*U13</f>
        <v>6316.1353200000003</v>
      </c>
      <c r="W13" s="4">
        <f>V13/50</f>
        <v>126.3227064</v>
      </c>
      <c r="X13" s="3">
        <v>0</v>
      </c>
      <c r="Y13" s="4">
        <f t="shared" ref="Y13:Y18" si="23">C13*X13</f>
        <v>0</v>
      </c>
      <c r="Z13" s="4">
        <f>Y13/50</f>
        <v>0</v>
      </c>
      <c r="AA13" s="3">
        <v>143</v>
      </c>
      <c r="AB13" s="4">
        <f t="shared" ref="AB13:AB18" si="24">C13*AA13</f>
        <v>4068.5015800000001</v>
      </c>
      <c r="AC13" s="4">
        <f>AB13/50</f>
        <v>81.370031600000004</v>
      </c>
      <c r="AD13" s="3">
        <v>0</v>
      </c>
      <c r="AE13" s="4">
        <f t="shared" ref="AE13:AE18" si="25">C13*AD13</f>
        <v>0</v>
      </c>
      <c r="AF13" s="4">
        <f>AE13/50</f>
        <v>0</v>
      </c>
      <c r="AG13" s="3">
        <v>0</v>
      </c>
      <c r="AH13" s="4">
        <f t="shared" ref="AH13:AH18" si="26">C13*AG13</f>
        <v>0</v>
      </c>
      <c r="AI13" s="4">
        <f>AH13/50</f>
        <v>0</v>
      </c>
      <c r="AJ13" s="3">
        <v>235</v>
      </c>
      <c r="AK13" s="4">
        <f t="shared" ref="AK13:AK18" si="27">C13*AJ13</f>
        <v>6685.9991</v>
      </c>
      <c r="AL13" s="4">
        <f>AK13/50</f>
        <v>133.71998199999999</v>
      </c>
      <c r="AM13" s="3">
        <v>97</v>
      </c>
      <c r="AN13" s="4">
        <f t="shared" ref="AN13:AN18" si="28">C13*AM13</f>
        <v>2759.7528200000002</v>
      </c>
      <c r="AO13" s="4">
        <f>AN13/50</f>
        <v>55.195056400000006</v>
      </c>
    </row>
    <row r="14" spans="1:41" s="3" customFormat="1" ht="17" x14ac:dyDescent="0.2">
      <c r="B14" s="3" t="s">
        <v>6</v>
      </c>
      <c r="C14" s="4">
        <v>54.694859999999998</v>
      </c>
      <c r="D14" s="3" t="s">
        <v>91</v>
      </c>
      <c r="E14" s="3" t="s">
        <v>121</v>
      </c>
      <c r="F14" s="3">
        <v>0</v>
      </c>
      <c r="G14" s="4">
        <f t="shared" si="6"/>
        <v>0</v>
      </c>
      <c r="H14" s="4">
        <f t="shared" ref="H14:H16" si="29">G14/50</f>
        <v>0</v>
      </c>
      <c r="I14" s="3">
        <v>0</v>
      </c>
      <c r="J14" s="4">
        <f t="shared" si="7"/>
        <v>0</v>
      </c>
      <c r="K14" s="4">
        <f t="shared" ref="K14:K18" si="30">J14/50</f>
        <v>0</v>
      </c>
      <c r="L14" s="3">
        <v>0</v>
      </c>
      <c r="M14" s="4">
        <f t="shared" si="19"/>
        <v>0</v>
      </c>
      <c r="N14" s="4">
        <f t="shared" ref="N14:N18" si="31">M14/50</f>
        <v>0</v>
      </c>
      <c r="O14" s="3">
        <v>0</v>
      </c>
      <c r="P14" s="4">
        <f t="shared" si="20"/>
        <v>0</v>
      </c>
      <c r="Q14" s="4">
        <f t="shared" ref="Q14:Q18" si="32">P14/50</f>
        <v>0</v>
      </c>
      <c r="R14" s="3">
        <v>76</v>
      </c>
      <c r="S14" s="4">
        <f t="shared" si="21"/>
        <v>4156.8093600000002</v>
      </c>
      <c r="T14" s="4">
        <f t="shared" ref="T14:T18" si="33">S14/50</f>
        <v>83.136187200000009</v>
      </c>
      <c r="U14" s="3">
        <v>45</v>
      </c>
      <c r="V14" s="4">
        <f t="shared" si="22"/>
        <v>2461.2687000000001</v>
      </c>
      <c r="W14" s="4">
        <f t="shared" ref="W14:W18" si="34">V14/50</f>
        <v>49.225374000000002</v>
      </c>
      <c r="X14" s="3">
        <v>0</v>
      </c>
      <c r="Y14" s="4">
        <f t="shared" si="23"/>
        <v>0</v>
      </c>
      <c r="Z14" s="4">
        <f t="shared" ref="Z14:Z18" si="35">Y14/50</f>
        <v>0</v>
      </c>
      <c r="AA14" s="3">
        <v>251</v>
      </c>
      <c r="AB14" s="4">
        <f t="shared" si="24"/>
        <v>13728.40986</v>
      </c>
      <c r="AC14" s="4">
        <f t="shared" ref="AC14:AC18" si="36">AB14/50</f>
        <v>274.56819719999999</v>
      </c>
      <c r="AD14" s="3">
        <v>0</v>
      </c>
      <c r="AE14" s="4">
        <f t="shared" si="25"/>
        <v>0</v>
      </c>
      <c r="AF14" s="4">
        <f t="shared" ref="AF14:AF18" si="37">AE14/50</f>
        <v>0</v>
      </c>
      <c r="AG14" s="3">
        <v>0</v>
      </c>
      <c r="AH14" s="4">
        <f t="shared" si="26"/>
        <v>0</v>
      </c>
      <c r="AI14" s="4">
        <f t="shared" ref="AI14:AI18" si="38">AH14/50</f>
        <v>0</v>
      </c>
      <c r="AJ14" s="3">
        <v>70</v>
      </c>
      <c r="AK14" s="4">
        <f t="shared" si="27"/>
        <v>3828.6401999999998</v>
      </c>
      <c r="AL14" s="4">
        <f t="shared" ref="AL14:AL18" si="39">AK14/50</f>
        <v>76.572803999999991</v>
      </c>
      <c r="AM14" s="3">
        <v>86</v>
      </c>
      <c r="AN14" s="4">
        <f t="shared" si="28"/>
        <v>4703.7579599999999</v>
      </c>
      <c r="AO14" s="4">
        <f t="shared" ref="AO14:AO18" si="40">AN14/50</f>
        <v>94.075159200000002</v>
      </c>
    </row>
    <row r="15" spans="1:41" s="3" customFormat="1" ht="17" x14ac:dyDescent="0.2">
      <c r="B15" s="3" t="s">
        <v>23</v>
      </c>
      <c r="C15" s="4">
        <v>59.908859999999997</v>
      </c>
      <c r="D15" s="3" t="s">
        <v>108</v>
      </c>
      <c r="E15" s="3" t="s">
        <v>122</v>
      </c>
      <c r="F15" s="3">
        <v>0</v>
      </c>
      <c r="G15" s="4">
        <f t="shared" si="6"/>
        <v>0</v>
      </c>
      <c r="H15" s="4">
        <f t="shared" si="29"/>
        <v>0</v>
      </c>
      <c r="I15" s="3">
        <v>0</v>
      </c>
      <c r="J15" s="4">
        <f t="shared" si="7"/>
        <v>0</v>
      </c>
      <c r="K15" s="4">
        <f t="shared" si="30"/>
        <v>0</v>
      </c>
      <c r="L15" s="3">
        <v>0</v>
      </c>
      <c r="M15" s="4">
        <f t="shared" si="19"/>
        <v>0</v>
      </c>
      <c r="N15" s="4">
        <f t="shared" si="31"/>
        <v>0</v>
      </c>
      <c r="O15" s="3">
        <v>0</v>
      </c>
      <c r="P15" s="4">
        <f t="shared" si="20"/>
        <v>0</v>
      </c>
      <c r="Q15" s="4">
        <f t="shared" si="32"/>
        <v>0</v>
      </c>
      <c r="R15" s="3">
        <v>0</v>
      </c>
      <c r="S15" s="4">
        <f t="shared" si="21"/>
        <v>0</v>
      </c>
      <c r="T15" s="4">
        <f t="shared" si="33"/>
        <v>0</v>
      </c>
      <c r="U15" s="3">
        <v>0</v>
      </c>
      <c r="V15" s="4">
        <f t="shared" si="22"/>
        <v>0</v>
      </c>
      <c r="W15" s="4">
        <f t="shared" si="34"/>
        <v>0</v>
      </c>
      <c r="X15" s="3">
        <v>216</v>
      </c>
      <c r="Y15" s="4">
        <f t="shared" si="23"/>
        <v>12940.313759999999</v>
      </c>
      <c r="Z15" s="4">
        <f t="shared" si="35"/>
        <v>258.80627519999996</v>
      </c>
      <c r="AA15" s="3">
        <v>0</v>
      </c>
      <c r="AB15" s="4">
        <f t="shared" si="24"/>
        <v>0</v>
      </c>
      <c r="AC15" s="4">
        <f t="shared" si="36"/>
        <v>0</v>
      </c>
      <c r="AD15" s="3">
        <v>0</v>
      </c>
      <c r="AE15" s="4">
        <f t="shared" si="25"/>
        <v>0</v>
      </c>
      <c r="AF15" s="4">
        <f t="shared" si="37"/>
        <v>0</v>
      </c>
      <c r="AG15" s="3">
        <v>125</v>
      </c>
      <c r="AH15" s="4">
        <f t="shared" si="26"/>
        <v>7488.6075000000001</v>
      </c>
      <c r="AI15" s="4">
        <f t="shared" si="38"/>
        <v>149.77215000000001</v>
      </c>
      <c r="AJ15" s="3">
        <v>0</v>
      </c>
      <c r="AK15" s="4">
        <f t="shared" si="27"/>
        <v>0</v>
      </c>
      <c r="AL15" s="4">
        <f t="shared" si="39"/>
        <v>0</v>
      </c>
      <c r="AM15" s="3">
        <v>0</v>
      </c>
      <c r="AN15" s="4">
        <f t="shared" si="28"/>
        <v>0</v>
      </c>
      <c r="AO15" s="4">
        <f t="shared" si="40"/>
        <v>0</v>
      </c>
    </row>
    <row r="16" spans="1:41" s="3" customFormat="1" ht="17" x14ac:dyDescent="0.2">
      <c r="B16" s="3" t="s">
        <v>24</v>
      </c>
      <c r="C16" s="4">
        <v>176.35486</v>
      </c>
      <c r="D16" s="3" t="s">
        <v>109</v>
      </c>
      <c r="E16" s="3" t="s">
        <v>123</v>
      </c>
      <c r="F16" s="3">
        <v>0</v>
      </c>
      <c r="G16" s="4">
        <f t="shared" si="6"/>
        <v>0</v>
      </c>
      <c r="H16" s="4">
        <f t="shared" si="29"/>
        <v>0</v>
      </c>
      <c r="I16" s="3">
        <v>0</v>
      </c>
      <c r="J16" s="4">
        <f t="shared" si="7"/>
        <v>0</v>
      </c>
      <c r="K16" s="4">
        <f t="shared" si="30"/>
        <v>0</v>
      </c>
      <c r="L16" s="3">
        <v>0</v>
      </c>
      <c r="M16" s="4">
        <f t="shared" si="19"/>
        <v>0</v>
      </c>
      <c r="N16" s="4">
        <f t="shared" si="31"/>
        <v>0</v>
      </c>
      <c r="O16" s="3">
        <v>0</v>
      </c>
      <c r="P16" s="4">
        <f t="shared" si="20"/>
        <v>0</v>
      </c>
      <c r="Q16" s="4">
        <f t="shared" si="32"/>
        <v>0</v>
      </c>
      <c r="R16" s="3">
        <v>0</v>
      </c>
      <c r="S16" s="4">
        <f t="shared" si="21"/>
        <v>0</v>
      </c>
      <c r="T16" s="4">
        <f t="shared" si="33"/>
        <v>0</v>
      </c>
      <c r="U16" s="3">
        <v>0</v>
      </c>
      <c r="V16" s="4">
        <f t="shared" si="22"/>
        <v>0</v>
      </c>
      <c r="W16" s="4">
        <f t="shared" si="34"/>
        <v>0</v>
      </c>
      <c r="X16" s="3">
        <v>98</v>
      </c>
      <c r="Y16" s="4">
        <f t="shared" si="23"/>
        <v>17282.776280000002</v>
      </c>
      <c r="Z16" s="4">
        <f t="shared" si="35"/>
        <v>345.65552560000003</v>
      </c>
      <c r="AA16" s="3">
        <v>0</v>
      </c>
      <c r="AB16" s="4">
        <f t="shared" si="24"/>
        <v>0</v>
      </c>
      <c r="AC16" s="4">
        <f t="shared" si="36"/>
        <v>0</v>
      </c>
      <c r="AD16" s="3">
        <v>0</v>
      </c>
      <c r="AE16" s="4">
        <f t="shared" si="25"/>
        <v>0</v>
      </c>
      <c r="AF16" s="4">
        <f t="shared" si="37"/>
        <v>0</v>
      </c>
      <c r="AG16" s="3">
        <v>0</v>
      </c>
      <c r="AH16" s="4">
        <f t="shared" si="26"/>
        <v>0</v>
      </c>
      <c r="AI16" s="4">
        <f t="shared" si="38"/>
        <v>0</v>
      </c>
      <c r="AJ16" s="3">
        <v>0</v>
      </c>
      <c r="AK16" s="4">
        <f t="shared" si="27"/>
        <v>0</v>
      </c>
      <c r="AL16" s="4">
        <f t="shared" si="39"/>
        <v>0</v>
      </c>
      <c r="AM16" s="3">
        <v>0</v>
      </c>
      <c r="AN16" s="4">
        <f t="shared" si="28"/>
        <v>0</v>
      </c>
      <c r="AO16" s="4">
        <f t="shared" si="40"/>
        <v>0</v>
      </c>
    </row>
    <row r="17" spans="1:41" s="3" customFormat="1" ht="17" x14ac:dyDescent="0.2">
      <c r="B17" s="3" t="s">
        <v>80</v>
      </c>
      <c r="C17" s="4">
        <v>2845.9749999999999</v>
      </c>
      <c r="D17" s="3" t="s">
        <v>93</v>
      </c>
      <c r="E17" s="3" t="s">
        <v>124</v>
      </c>
      <c r="F17" s="3">
        <v>0</v>
      </c>
      <c r="G17" s="4">
        <f t="shared" si="6"/>
        <v>0</v>
      </c>
      <c r="H17" s="4">
        <f>G17/100</f>
        <v>0</v>
      </c>
      <c r="I17" s="3">
        <v>0</v>
      </c>
      <c r="J17" s="4">
        <f t="shared" si="7"/>
        <v>0</v>
      </c>
      <c r="K17" s="4">
        <f>J17/100</f>
        <v>0</v>
      </c>
      <c r="L17" s="3">
        <v>0</v>
      </c>
      <c r="M17" s="4">
        <f t="shared" si="19"/>
        <v>0</v>
      </c>
      <c r="N17" s="4">
        <f>M17/100</f>
        <v>0</v>
      </c>
      <c r="O17" s="3">
        <v>0</v>
      </c>
      <c r="P17" s="4">
        <f t="shared" si="20"/>
        <v>0</v>
      </c>
      <c r="Q17" s="4">
        <f>P17/100</f>
        <v>0</v>
      </c>
      <c r="R17" s="3">
        <v>8</v>
      </c>
      <c r="S17" s="4">
        <f t="shared" si="21"/>
        <v>22767.8</v>
      </c>
      <c r="T17" s="4">
        <f>S17/100</f>
        <v>227.678</v>
      </c>
      <c r="U17" s="3">
        <v>3</v>
      </c>
      <c r="V17" s="4">
        <f t="shared" si="22"/>
        <v>8537.9249999999993</v>
      </c>
      <c r="W17" s="4">
        <f>V17/100</f>
        <v>85.379249999999999</v>
      </c>
      <c r="X17" s="3">
        <v>3</v>
      </c>
      <c r="Y17" s="4">
        <f t="shared" si="23"/>
        <v>8537.9249999999993</v>
      </c>
      <c r="Z17" s="4">
        <f>Y17/100</f>
        <v>85.379249999999999</v>
      </c>
      <c r="AA17" s="3">
        <v>5</v>
      </c>
      <c r="AB17" s="4">
        <f t="shared" si="24"/>
        <v>14229.875</v>
      </c>
      <c r="AC17" s="4">
        <f>AB17/100</f>
        <v>142.29875000000001</v>
      </c>
      <c r="AD17" s="3">
        <v>0</v>
      </c>
      <c r="AE17" s="4">
        <f t="shared" si="25"/>
        <v>0</v>
      </c>
      <c r="AF17" s="4">
        <f>AE17/100</f>
        <v>0</v>
      </c>
      <c r="AG17" s="3">
        <v>2</v>
      </c>
      <c r="AH17" s="4">
        <f t="shared" si="26"/>
        <v>5691.95</v>
      </c>
      <c r="AI17" s="4">
        <f>AH17/100</f>
        <v>56.919499999999999</v>
      </c>
      <c r="AJ17" s="3">
        <v>2</v>
      </c>
      <c r="AK17" s="4">
        <f t="shared" si="27"/>
        <v>5691.95</v>
      </c>
      <c r="AL17" s="4">
        <f>AK17/100</f>
        <v>56.919499999999999</v>
      </c>
      <c r="AM17" s="3">
        <v>4</v>
      </c>
      <c r="AN17" s="4">
        <f t="shared" si="28"/>
        <v>11383.9</v>
      </c>
      <c r="AO17" s="4">
        <f>AN17/100</f>
        <v>113.839</v>
      </c>
    </row>
    <row r="18" spans="1:41" s="3" customFormat="1" ht="17" x14ac:dyDescent="0.2">
      <c r="B18" s="3" t="s">
        <v>44</v>
      </c>
      <c r="C18" s="4">
        <v>3032.81</v>
      </c>
      <c r="D18" s="3" t="s">
        <v>94</v>
      </c>
      <c r="E18" s="3" t="s">
        <v>125</v>
      </c>
      <c r="F18" s="3">
        <v>0</v>
      </c>
      <c r="G18" s="4">
        <f t="shared" si="6"/>
        <v>0</v>
      </c>
      <c r="H18" s="4">
        <f>G18/50</f>
        <v>0</v>
      </c>
      <c r="I18" s="3">
        <v>0</v>
      </c>
      <c r="J18" s="4">
        <f t="shared" si="7"/>
        <v>0</v>
      </c>
      <c r="K18" s="4">
        <f t="shared" si="30"/>
        <v>0</v>
      </c>
      <c r="L18" s="3">
        <v>0</v>
      </c>
      <c r="M18" s="4">
        <f t="shared" si="19"/>
        <v>0</v>
      </c>
      <c r="N18" s="4">
        <f t="shared" si="31"/>
        <v>0</v>
      </c>
      <c r="O18" s="3">
        <v>0</v>
      </c>
      <c r="P18" s="4">
        <f t="shared" si="20"/>
        <v>0</v>
      </c>
      <c r="Q18" s="4">
        <f t="shared" si="32"/>
        <v>0</v>
      </c>
      <c r="R18" s="3">
        <v>2</v>
      </c>
      <c r="S18" s="4">
        <f t="shared" si="21"/>
        <v>6065.62</v>
      </c>
      <c r="T18" s="4">
        <f t="shared" si="33"/>
        <v>121.3124</v>
      </c>
      <c r="U18" s="3">
        <v>4</v>
      </c>
      <c r="V18" s="4">
        <f t="shared" si="22"/>
        <v>12131.24</v>
      </c>
      <c r="W18" s="4">
        <f t="shared" si="34"/>
        <v>242.62479999999999</v>
      </c>
      <c r="X18" s="3">
        <v>1</v>
      </c>
      <c r="Y18" s="4">
        <f t="shared" si="23"/>
        <v>3032.81</v>
      </c>
      <c r="Z18" s="4">
        <f t="shared" si="35"/>
        <v>60.656199999999998</v>
      </c>
      <c r="AA18" s="3">
        <v>0</v>
      </c>
      <c r="AB18" s="4">
        <f t="shared" si="24"/>
        <v>0</v>
      </c>
      <c r="AC18" s="4">
        <f t="shared" si="36"/>
        <v>0</v>
      </c>
      <c r="AD18" s="3">
        <v>0</v>
      </c>
      <c r="AE18" s="4">
        <f t="shared" si="25"/>
        <v>0</v>
      </c>
      <c r="AF18" s="4">
        <f t="shared" si="37"/>
        <v>0</v>
      </c>
      <c r="AG18" s="3">
        <v>1</v>
      </c>
      <c r="AH18" s="4">
        <f t="shared" si="26"/>
        <v>3032.81</v>
      </c>
      <c r="AI18" s="4">
        <f t="shared" si="38"/>
        <v>60.656199999999998</v>
      </c>
      <c r="AJ18" s="3">
        <v>0</v>
      </c>
      <c r="AK18" s="4">
        <f t="shared" si="27"/>
        <v>0</v>
      </c>
      <c r="AL18" s="4">
        <f t="shared" si="39"/>
        <v>0</v>
      </c>
      <c r="AM18" s="3">
        <v>1</v>
      </c>
      <c r="AN18" s="4">
        <f t="shared" si="28"/>
        <v>3032.81</v>
      </c>
      <c r="AO18" s="4">
        <f t="shared" si="40"/>
        <v>60.656199999999998</v>
      </c>
    </row>
    <row r="19" spans="1:41" s="3" customFormat="1" x14ac:dyDescent="0.2">
      <c r="A19" s="14" t="s">
        <v>48</v>
      </c>
      <c r="B19" s="14"/>
      <c r="C19" s="4"/>
      <c r="G19" s="4">
        <f>SUM(G13:G18)</f>
        <v>0</v>
      </c>
      <c r="H19" s="4">
        <f>SUM(H13:H18)</f>
        <v>0</v>
      </c>
      <c r="J19" s="4">
        <f>SUM(J13:J18)</f>
        <v>0</v>
      </c>
      <c r="K19" s="4">
        <f>SUM(K13:K18)</f>
        <v>0</v>
      </c>
      <c r="M19" s="4">
        <f>SUM(M13:M18)</f>
        <v>0</v>
      </c>
      <c r="N19" s="4">
        <f>SUM(N13:N18)</f>
        <v>0</v>
      </c>
      <c r="P19" s="4">
        <f>SUM(P13:P18)</f>
        <v>0</v>
      </c>
      <c r="Q19" s="4">
        <f>SUM(Q13:Q18)</f>
        <v>0</v>
      </c>
      <c r="S19" s="4">
        <f>SUM(S13:S18)</f>
        <v>43204.159900000006</v>
      </c>
      <c r="T19" s="4">
        <f>SUM(T13:T18)</f>
        <v>636.40519800000004</v>
      </c>
      <c r="V19" s="4">
        <f>SUM(V13:V18)</f>
        <v>29446.569019999995</v>
      </c>
      <c r="W19" s="4">
        <f>SUM(W13:W18)</f>
        <v>503.55213040000001</v>
      </c>
      <c r="Y19" s="4">
        <f>SUM(Y13:Y18)</f>
        <v>41793.825039999996</v>
      </c>
      <c r="Z19" s="4">
        <f>SUM(Z13:Z18)</f>
        <v>750.49725079999996</v>
      </c>
      <c r="AB19" s="4">
        <f>SUM(AB13:AB18)</f>
        <v>32026.78644</v>
      </c>
      <c r="AC19" s="4">
        <f>SUM(AC13:AC18)</f>
        <v>498.23697879999997</v>
      </c>
      <c r="AE19" s="4">
        <f>SUM(AE13:AE18)</f>
        <v>0</v>
      </c>
      <c r="AF19" s="4">
        <f>SUM(AF13:AF18)</f>
        <v>0</v>
      </c>
      <c r="AH19" s="4">
        <f>SUM(AH13:AH18)</f>
        <v>16213.367499999998</v>
      </c>
      <c r="AI19" s="4">
        <f>SUM(AI13:AI18)</f>
        <v>267.34784999999999</v>
      </c>
      <c r="AK19" s="4">
        <f>SUM(AK13:AK18)</f>
        <v>16206.5893</v>
      </c>
      <c r="AL19" s="4">
        <f>SUM(AL13:AL18)</f>
        <v>267.21228599999995</v>
      </c>
      <c r="AN19" s="4">
        <f>SUM(AN13:AN18)</f>
        <v>21880.22078</v>
      </c>
      <c r="AO19" s="4">
        <f>SUM(AO13:AO18)</f>
        <v>323.76541559999998</v>
      </c>
    </row>
    <row r="20" spans="1:41" s="3" customFormat="1" x14ac:dyDescent="0.2">
      <c r="A20" s="14" t="s">
        <v>49</v>
      </c>
      <c r="B20" s="14"/>
      <c r="C20" s="4"/>
      <c r="G20" s="4"/>
      <c r="H20" s="4">
        <f>'Revenue totals'!F2</f>
        <v>720</v>
      </c>
      <c r="J20" s="4"/>
      <c r="K20" s="4">
        <f>'Revenue totals'!F3</f>
        <v>1560</v>
      </c>
      <c r="M20" s="4"/>
      <c r="N20" s="4">
        <f>'Revenue totals'!F4</f>
        <v>960</v>
      </c>
      <c r="P20" s="4"/>
      <c r="Q20" s="4">
        <f>'Revenue totals'!F5</f>
        <v>1740</v>
      </c>
      <c r="S20" s="4"/>
      <c r="T20" s="4">
        <f>'Revenue totals'!F6</f>
        <v>1860</v>
      </c>
      <c r="V20" s="4"/>
      <c r="W20" s="4">
        <f>'Revenue totals'!F7</f>
        <v>720</v>
      </c>
      <c r="Y20" s="4"/>
      <c r="Z20" s="4">
        <f>'Revenue totals'!F8</f>
        <v>720</v>
      </c>
      <c r="AB20" s="4"/>
      <c r="AC20" s="4">
        <f>'Revenue totals'!F9</f>
        <v>1380</v>
      </c>
      <c r="AE20" s="4"/>
      <c r="AF20" s="4">
        <f>'Revenue totals'!F10</f>
        <v>1140</v>
      </c>
      <c r="AH20" s="4"/>
      <c r="AI20" s="4">
        <f>'Revenue totals'!F11</f>
        <v>1260</v>
      </c>
      <c r="AK20" s="4"/>
      <c r="AL20" s="4">
        <f>'Revenue totals'!F12</f>
        <v>1920</v>
      </c>
      <c r="AN20" s="4"/>
      <c r="AO20" s="4">
        <f>'Revenue totals'!F13</f>
        <v>1140</v>
      </c>
    </row>
    <row r="21" spans="1:41" s="3" customFormat="1" x14ac:dyDescent="0.2">
      <c r="A21" s="14" t="s">
        <v>47</v>
      </c>
      <c r="B21" s="14"/>
      <c r="C21" s="4"/>
      <c r="G21" s="4"/>
      <c r="H21" s="4">
        <f>H20-H19</f>
        <v>720</v>
      </c>
      <c r="I21" s="4"/>
      <c r="J21" s="4"/>
      <c r="K21" s="4">
        <f t="shared" ref="K21:AO21" si="41">K20-K19</f>
        <v>1560</v>
      </c>
      <c r="L21" s="4"/>
      <c r="M21" s="4"/>
      <c r="N21" s="4">
        <f t="shared" si="41"/>
        <v>960</v>
      </c>
      <c r="O21" s="4"/>
      <c r="P21" s="4"/>
      <c r="Q21" s="4">
        <f t="shared" si="41"/>
        <v>1740</v>
      </c>
      <c r="R21" s="4"/>
      <c r="S21" s="4"/>
      <c r="T21" s="4">
        <f t="shared" si="41"/>
        <v>1223.5948020000001</v>
      </c>
      <c r="U21" s="4"/>
      <c r="V21" s="4"/>
      <c r="W21" s="4">
        <f t="shared" si="41"/>
        <v>216.44786959999999</v>
      </c>
      <c r="X21" s="4"/>
      <c r="Y21" s="4"/>
      <c r="Z21" s="4">
        <f t="shared" si="41"/>
        <v>-30.497250799999961</v>
      </c>
      <c r="AA21" s="4"/>
      <c r="AB21" s="4"/>
      <c r="AC21" s="4">
        <f t="shared" si="41"/>
        <v>881.76302120000003</v>
      </c>
      <c r="AD21" s="4"/>
      <c r="AE21" s="4"/>
      <c r="AF21" s="4">
        <f t="shared" si="41"/>
        <v>1140</v>
      </c>
      <c r="AG21" s="4"/>
      <c r="AH21" s="4"/>
      <c r="AI21" s="4">
        <f t="shared" si="41"/>
        <v>992.65215000000001</v>
      </c>
      <c r="AJ21" s="4"/>
      <c r="AK21" s="4"/>
      <c r="AL21" s="4">
        <f t="shared" si="41"/>
        <v>1652.7877140000001</v>
      </c>
      <c r="AM21" s="4"/>
      <c r="AN21" s="4"/>
      <c r="AO21" s="4">
        <f t="shared" si="41"/>
        <v>816.23458440000002</v>
      </c>
    </row>
    <row r="22" spans="1:41" s="3" customFormat="1" x14ac:dyDescent="0.2">
      <c r="A22" s="3" t="s">
        <v>9</v>
      </c>
      <c r="C22" s="4"/>
      <c r="G22" s="4"/>
      <c r="H22" s="4"/>
      <c r="J22" s="4"/>
      <c r="K22" s="4"/>
      <c r="M22" s="4"/>
      <c r="N22" s="4"/>
      <c r="P22" s="4"/>
      <c r="Q22" s="4"/>
      <c r="S22" s="4"/>
      <c r="T22" s="4"/>
      <c r="V22" s="4"/>
      <c r="W22" s="4"/>
      <c r="Y22" s="4"/>
      <c r="Z22" s="4"/>
      <c r="AB22" s="4"/>
      <c r="AC22" s="4"/>
      <c r="AE22" s="4"/>
      <c r="AF22" s="4"/>
      <c r="AH22" s="4"/>
      <c r="AI22" s="4"/>
      <c r="AK22" s="4"/>
      <c r="AL22" s="4"/>
      <c r="AN22" s="4"/>
    </row>
    <row r="23" spans="1:41" s="3" customFormat="1" ht="17" x14ac:dyDescent="0.2">
      <c r="B23" s="3" t="s">
        <v>11</v>
      </c>
      <c r="C23" s="4">
        <v>3628.0749999999998</v>
      </c>
      <c r="D23" s="3" t="s">
        <v>95</v>
      </c>
      <c r="E23" s="3" t="s">
        <v>126</v>
      </c>
      <c r="F23" s="3">
        <v>2</v>
      </c>
      <c r="G23" s="4">
        <f t="shared" si="6"/>
        <v>7256.15</v>
      </c>
      <c r="H23" s="4">
        <f>G23/50</f>
        <v>145.12299999999999</v>
      </c>
      <c r="I23" s="3">
        <v>6</v>
      </c>
      <c r="J23" s="4">
        <f t="shared" si="7"/>
        <v>21768.449999999997</v>
      </c>
      <c r="K23" s="4">
        <f>J23/50</f>
        <v>435.36899999999991</v>
      </c>
      <c r="L23" s="3">
        <v>3</v>
      </c>
      <c r="M23" s="4">
        <f>C23*L23</f>
        <v>10884.224999999999</v>
      </c>
      <c r="N23" s="4">
        <f>M23/50</f>
        <v>217.68449999999996</v>
      </c>
      <c r="O23" s="3">
        <v>6</v>
      </c>
      <c r="P23" s="4">
        <f>C23*O23</f>
        <v>21768.449999999997</v>
      </c>
      <c r="Q23" s="4">
        <f>P23/50</f>
        <v>435.36899999999991</v>
      </c>
      <c r="R23" s="3">
        <v>4</v>
      </c>
      <c r="S23" s="4">
        <f>C23*R23</f>
        <v>14512.3</v>
      </c>
      <c r="T23" s="4">
        <f>S23/50</f>
        <v>290.24599999999998</v>
      </c>
      <c r="U23" s="3">
        <v>2</v>
      </c>
      <c r="V23" s="4">
        <f>C23*U23</f>
        <v>7256.15</v>
      </c>
      <c r="W23" s="4">
        <f>V23/50</f>
        <v>145.12299999999999</v>
      </c>
      <c r="X23" s="3">
        <v>0</v>
      </c>
      <c r="Y23" s="4">
        <f>C23*X23</f>
        <v>0</v>
      </c>
      <c r="Z23" s="4">
        <f>Y23/50</f>
        <v>0</v>
      </c>
      <c r="AA23" s="3">
        <v>0</v>
      </c>
      <c r="AB23" s="4">
        <f>C23*AA23</f>
        <v>0</v>
      </c>
      <c r="AC23" s="4">
        <f>AB23/50</f>
        <v>0</v>
      </c>
      <c r="AD23" s="3">
        <v>3</v>
      </c>
      <c r="AE23" s="4">
        <f>C23*AD23</f>
        <v>10884.224999999999</v>
      </c>
      <c r="AF23" s="4">
        <f>AE23/50</f>
        <v>217.68449999999996</v>
      </c>
      <c r="AG23" s="3">
        <v>3</v>
      </c>
      <c r="AH23" s="4">
        <f>C23*AG23</f>
        <v>10884.224999999999</v>
      </c>
      <c r="AI23" s="4">
        <f>AH23/50</f>
        <v>217.68449999999996</v>
      </c>
      <c r="AJ23" s="3">
        <v>5</v>
      </c>
      <c r="AK23" s="4">
        <f>C23*AJ23</f>
        <v>18140.375</v>
      </c>
      <c r="AL23" s="4">
        <f>AK23/50</f>
        <v>362.8075</v>
      </c>
      <c r="AM23" s="3">
        <v>2</v>
      </c>
      <c r="AN23" s="4">
        <f>C23*AM23</f>
        <v>7256.15</v>
      </c>
      <c r="AO23" s="4">
        <f>AN23/50</f>
        <v>145.12299999999999</v>
      </c>
    </row>
    <row r="24" spans="1:41" s="3" customFormat="1" ht="17" x14ac:dyDescent="0.2">
      <c r="B24" s="3" t="s">
        <v>10</v>
      </c>
      <c r="C24" s="4">
        <v>2924.0720299999998</v>
      </c>
      <c r="D24" s="3" t="s">
        <v>110</v>
      </c>
      <c r="E24" s="3" t="s">
        <v>127</v>
      </c>
      <c r="F24" s="3">
        <v>0</v>
      </c>
      <c r="G24" s="4">
        <f t="shared" si="6"/>
        <v>0</v>
      </c>
      <c r="H24" s="4">
        <f t="shared" ref="H24:H26" si="42">G24/50</f>
        <v>0</v>
      </c>
      <c r="I24" s="3">
        <v>0</v>
      </c>
      <c r="J24" s="4">
        <f t="shared" si="7"/>
        <v>0</v>
      </c>
      <c r="K24" s="4">
        <f t="shared" ref="K24:K26" si="43">J24/50</f>
        <v>0</v>
      </c>
      <c r="L24" s="3">
        <v>0</v>
      </c>
      <c r="M24" s="4">
        <f>C24*L24</f>
        <v>0</v>
      </c>
      <c r="N24" s="4">
        <f t="shared" ref="N24:N26" si="44">M24/50</f>
        <v>0</v>
      </c>
      <c r="O24" s="3">
        <v>0</v>
      </c>
      <c r="P24" s="4">
        <f>C24*O24</f>
        <v>0</v>
      </c>
      <c r="Q24" s="4">
        <f t="shared" ref="Q24:Q26" si="45">P24/50</f>
        <v>0</v>
      </c>
      <c r="R24" s="3">
        <v>0</v>
      </c>
      <c r="S24" s="4">
        <f>C24*R24</f>
        <v>0</v>
      </c>
      <c r="T24" s="4">
        <f t="shared" ref="T24:T26" si="46">S24/50</f>
        <v>0</v>
      </c>
      <c r="U24" s="3">
        <v>0</v>
      </c>
      <c r="V24" s="4">
        <f>C24*U24</f>
        <v>0</v>
      </c>
      <c r="W24" s="4">
        <f t="shared" ref="W24:W26" si="47">V24/50</f>
        <v>0</v>
      </c>
      <c r="X24" s="3">
        <v>1</v>
      </c>
      <c r="Y24" s="4">
        <f>C24*X24</f>
        <v>2924.0720299999998</v>
      </c>
      <c r="Z24" s="4">
        <f t="shared" ref="Z24:Z26" si="48">Y24/50</f>
        <v>58.481440599999999</v>
      </c>
      <c r="AA24" s="3">
        <v>3</v>
      </c>
      <c r="AB24" s="4">
        <f>C24*AA24</f>
        <v>8772.2160899999999</v>
      </c>
      <c r="AC24" s="4">
        <f t="shared" ref="AC24:AC26" si="49">AB24/50</f>
        <v>175.44432180000001</v>
      </c>
      <c r="AD24" s="3">
        <v>0</v>
      </c>
      <c r="AE24" s="4">
        <f>C24*AD24</f>
        <v>0</v>
      </c>
      <c r="AF24" s="4">
        <f t="shared" ref="AF24:AF26" si="50">AE24/50</f>
        <v>0</v>
      </c>
      <c r="AG24" s="3">
        <v>0</v>
      </c>
      <c r="AH24" s="4">
        <f>C24*AG24</f>
        <v>0</v>
      </c>
      <c r="AI24" s="4">
        <f t="shared" ref="AI24:AI26" si="51">AH24/50</f>
        <v>0</v>
      </c>
      <c r="AJ24" s="3">
        <v>0</v>
      </c>
      <c r="AK24" s="4">
        <f>C24*AJ24</f>
        <v>0</v>
      </c>
      <c r="AL24" s="4">
        <f t="shared" ref="AL24:AL26" si="52">AK24/50</f>
        <v>0</v>
      </c>
      <c r="AM24" s="3">
        <v>0</v>
      </c>
      <c r="AN24" s="4">
        <f>C24*AM24</f>
        <v>0</v>
      </c>
      <c r="AO24" s="4">
        <f t="shared" ref="AO24:AO26" si="53">AN24/50</f>
        <v>0</v>
      </c>
    </row>
    <row r="25" spans="1:41" s="3" customFormat="1" x14ac:dyDescent="0.2">
      <c r="A25" s="3" t="s">
        <v>12</v>
      </c>
      <c r="C25" s="4"/>
      <c r="G25" s="4"/>
      <c r="H25" s="4"/>
      <c r="J25" s="4"/>
      <c r="K25" s="4"/>
      <c r="M25" s="4"/>
      <c r="N25" s="4"/>
      <c r="P25" s="4"/>
      <c r="Q25" s="4"/>
      <c r="S25" s="4"/>
      <c r="T25" s="4"/>
      <c r="V25" s="4"/>
      <c r="W25" s="4"/>
      <c r="Y25" s="4"/>
      <c r="Z25" s="4"/>
      <c r="AB25" s="4"/>
      <c r="AC25" s="4"/>
      <c r="AE25" s="4"/>
      <c r="AF25" s="4"/>
      <c r="AH25" s="4"/>
      <c r="AI25" s="4"/>
      <c r="AK25" s="4"/>
      <c r="AL25" s="4"/>
      <c r="AN25" s="4"/>
      <c r="AO25" s="4"/>
    </row>
    <row r="26" spans="1:41" s="3" customFormat="1" ht="17" x14ac:dyDescent="0.2">
      <c r="B26" s="3" t="s">
        <v>13</v>
      </c>
      <c r="C26" s="4">
        <v>2680.8649999999998</v>
      </c>
      <c r="D26" s="3" t="s">
        <v>111</v>
      </c>
      <c r="E26" s="3" t="s">
        <v>128</v>
      </c>
      <c r="F26" s="3">
        <v>1</v>
      </c>
      <c r="G26" s="4">
        <f t="shared" si="6"/>
        <v>2680.8649999999998</v>
      </c>
      <c r="H26" s="4">
        <f t="shared" si="42"/>
        <v>53.617299999999993</v>
      </c>
      <c r="I26" s="3">
        <v>2</v>
      </c>
      <c r="J26" s="4">
        <f t="shared" si="7"/>
        <v>5361.73</v>
      </c>
      <c r="K26" s="4">
        <f t="shared" si="43"/>
        <v>107.23459999999999</v>
      </c>
      <c r="L26" s="3">
        <v>2</v>
      </c>
      <c r="M26" s="4">
        <f>C26*L26</f>
        <v>5361.73</v>
      </c>
      <c r="N26" s="4">
        <f t="shared" si="44"/>
        <v>107.23459999999999</v>
      </c>
      <c r="O26" s="3">
        <v>3</v>
      </c>
      <c r="P26" s="4">
        <f>C26*O26</f>
        <v>8042.5949999999993</v>
      </c>
      <c r="Q26" s="4">
        <f t="shared" si="45"/>
        <v>160.8519</v>
      </c>
      <c r="R26" s="3">
        <v>5</v>
      </c>
      <c r="S26" s="4">
        <f>C26*R26</f>
        <v>13404.324999999999</v>
      </c>
      <c r="T26" s="4">
        <f t="shared" si="46"/>
        <v>268.0865</v>
      </c>
      <c r="U26" s="3">
        <v>1</v>
      </c>
      <c r="V26" s="4">
        <f>C26*U26</f>
        <v>2680.8649999999998</v>
      </c>
      <c r="W26" s="4">
        <f t="shared" si="47"/>
        <v>53.617299999999993</v>
      </c>
      <c r="X26" s="3">
        <v>0</v>
      </c>
      <c r="Y26" s="4">
        <f>C26*X26</f>
        <v>0</v>
      </c>
      <c r="Z26" s="4">
        <f t="shared" si="48"/>
        <v>0</v>
      </c>
      <c r="AA26" s="3">
        <v>0</v>
      </c>
      <c r="AB26" s="4">
        <f>C26*AA26</f>
        <v>0</v>
      </c>
      <c r="AC26" s="4">
        <f t="shared" si="49"/>
        <v>0</v>
      </c>
      <c r="AD26" s="3">
        <v>3</v>
      </c>
      <c r="AE26" s="4">
        <f>C26*AD26</f>
        <v>8042.5949999999993</v>
      </c>
      <c r="AF26" s="4">
        <f t="shared" si="50"/>
        <v>160.8519</v>
      </c>
      <c r="AG26" s="3">
        <v>6</v>
      </c>
      <c r="AH26" s="4">
        <f>C26*AG26</f>
        <v>16085.189999999999</v>
      </c>
      <c r="AI26" s="4">
        <f t="shared" si="51"/>
        <v>321.7038</v>
      </c>
      <c r="AJ26" s="3">
        <v>4</v>
      </c>
      <c r="AK26" s="4">
        <f>C26*AJ26</f>
        <v>10723.46</v>
      </c>
      <c r="AL26" s="4">
        <f t="shared" si="52"/>
        <v>214.46919999999997</v>
      </c>
      <c r="AM26" s="3">
        <v>3</v>
      </c>
      <c r="AN26" s="4">
        <f>C26*AM26</f>
        <v>8042.5949999999993</v>
      </c>
      <c r="AO26" s="4">
        <f t="shared" si="53"/>
        <v>160.8519</v>
      </c>
    </row>
    <row r="27" spans="1:41" s="3" customFormat="1" ht="17" x14ac:dyDescent="0.2">
      <c r="B27" s="3" t="s">
        <v>14</v>
      </c>
      <c r="C27" s="4">
        <v>27.0259</v>
      </c>
      <c r="D27" s="3" t="s">
        <v>96</v>
      </c>
      <c r="E27" s="3" t="s">
        <v>129</v>
      </c>
      <c r="F27" s="3">
        <v>0</v>
      </c>
      <c r="G27" s="4">
        <f t="shared" si="6"/>
        <v>0</v>
      </c>
      <c r="H27" s="4">
        <f>G27/75</f>
        <v>0</v>
      </c>
      <c r="I27" s="3">
        <v>0</v>
      </c>
      <c r="J27" s="4">
        <f t="shared" si="7"/>
        <v>0</v>
      </c>
      <c r="K27" s="4">
        <f>J27/75</f>
        <v>0</v>
      </c>
      <c r="L27" s="3">
        <v>0</v>
      </c>
      <c r="M27" s="4">
        <f>C27*L27</f>
        <v>0</v>
      </c>
      <c r="N27" s="4">
        <f>M27/75</f>
        <v>0</v>
      </c>
      <c r="O27" s="3">
        <v>0</v>
      </c>
      <c r="P27" s="4">
        <f>C27*O27</f>
        <v>0</v>
      </c>
      <c r="Q27" s="4">
        <f>P27/75</f>
        <v>0</v>
      </c>
      <c r="R27" s="3">
        <v>0</v>
      </c>
      <c r="S27" s="4">
        <f>C27*R27</f>
        <v>0</v>
      </c>
      <c r="T27" s="4">
        <f>S27/75</f>
        <v>0</v>
      </c>
      <c r="U27" s="3">
        <v>0</v>
      </c>
      <c r="V27" s="4">
        <f>C27*U27</f>
        <v>0</v>
      </c>
      <c r="W27" s="4">
        <f>V27/75</f>
        <v>0</v>
      </c>
      <c r="X27" s="3">
        <v>405</v>
      </c>
      <c r="Y27" s="4">
        <f>C27*X27</f>
        <v>10945.4895</v>
      </c>
      <c r="Z27" s="4">
        <f>Y27/75</f>
        <v>145.93985999999998</v>
      </c>
      <c r="AA27" s="3">
        <v>589</v>
      </c>
      <c r="AB27" s="4">
        <f>C27*AA27</f>
        <v>15918.2551</v>
      </c>
      <c r="AC27" s="4">
        <f>AB27/75</f>
        <v>212.24340133333334</v>
      </c>
      <c r="AD27" s="3">
        <v>0</v>
      </c>
      <c r="AE27" s="4">
        <f>C27*AD27</f>
        <v>0</v>
      </c>
      <c r="AF27" s="4">
        <f>AE27/75</f>
        <v>0</v>
      </c>
      <c r="AG27" s="3">
        <v>0</v>
      </c>
      <c r="AH27" s="4">
        <f>C27*AG27</f>
        <v>0</v>
      </c>
      <c r="AI27" s="4">
        <f>AH27/75</f>
        <v>0</v>
      </c>
      <c r="AJ27" s="3">
        <v>0</v>
      </c>
      <c r="AK27" s="4">
        <f>C27*AJ27</f>
        <v>0</v>
      </c>
      <c r="AL27" s="4">
        <f>AK27/75</f>
        <v>0</v>
      </c>
      <c r="AM27" s="3">
        <v>0</v>
      </c>
      <c r="AN27" s="4">
        <f>C27*AM27</f>
        <v>0</v>
      </c>
      <c r="AO27" s="4">
        <f>AN27/75</f>
        <v>0</v>
      </c>
    </row>
    <row r="28" spans="1:41" s="3" customFormat="1" ht="17" x14ac:dyDescent="0.2">
      <c r="B28" s="3" t="s">
        <v>105</v>
      </c>
      <c r="C28" s="4">
        <v>11.74888</v>
      </c>
      <c r="D28" s="4" t="s">
        <v>97</v>
      </c>
      <c r="E28" s="4" t="s">
        <v>130</v>
      </c>
      <c r="F28" s="3">
        <v>463</v>
      </c>
      <c r="G28" s="4">
        <f t="shared" si="6"/>
        <v>5439.7314399999996</v>
      </c>
      <c r="H28" s="4">
        <f>G28/80</f>
        <v>67.996642999999992</v>
      </c>
      <c r="I28" s="3">
        <v>978</v>
      </c>
      <c r="J28" s="4">
        <f t="shared" si="7"/>
        <v>11490.404640000001</v>
      </c>
      <c r="K28" s="4">
        <f>J28/80</f>
        <v>143.63005800000002</v>
      </c>
      <c r="L28" s="3">
        <v>797</v>
      </c>
      <c r="M28" s="4">
        <f>C28*L28</f>
        <v>9363.85736</v>
      </c>
      <c r="N28" s="4">
        <f>M28/80</f>
        <v>117.04821699999999</v>
      </c>
      <c r="O28" s="3">
        <v>1340</v>
      </c>
      <c r="P28" s="4">
        <f>C28*O28</f>
        <v>15743.4992</v>
      </c>
      <c r="Q28" s="4">
        <f>P28/80</f>
        <v>196.79374000000001</v>
      </c>
      <c r="R28" s="3">
        <v>1278</v>
      </c>
      <c r="S28" s="4">
        <f>C28*R28</f>
        <v>15015.06864</v>
      </c>
      <c r="T28" s="4">
        <f>S28/80</f>
        <v>187.68835799999999</v>
      </c>
      <c r="U28" s="3">
        <v>479</v>
      </c>
      <c r="V28" s="4">
        <f>C28*U28</f>
        <v>5627.7135200000002</v>
      </c>
      <c r="W28" s="4">
        <f>V28/80</f>
        <v>70.346418999999997</v>
      </c>
      <c r="X28" s="3">
        <v>0</v>
      </c>
      <c r="Y28" s="4">
        <f>C28*X28</f>
        <v>0</v>
      </c>
      <c r="Z28" s="4">
        <f>Y28/80</f>
        <v>0</v>
      </c>
      <c r="AA28" s="3">
        <v>0</v>
      </c>
      <c r="AB28" s="4">
        <f>C28*AA28</f>
        <v>0</v>
      </c>
      <c r="AC28" s="4">
        <f>AB28/80</f>
        <v>0</v>
      </c>
      <c r="AD28" s="3">
        <v>768</v>
      </c>
      <c r="AE28" s="4">
        <f>C28*AD28</f>
        <v>9023.1398399999998</v>
      </c>
      <c r="AF28" s="4">
        <f>AE28/80</f>
        <v>112.789248</v>
      </c>
      <c r="AG28" s="3">
        <v>835</v>
      </c>
      <c r="AH28" s="4">
        <f>C28*AG28</f>
        <v>9810.3148000000001</v>
      </c>
      <c r="AI28" s="4">
        <f>AH28/80</f>
        <v>122.628935</v>
      </c>
      <c r="AJ28" s="3">
        <v>1373</v>
      </c>
      <c r="AK28" s="4">
        <f>C28*AJ28</f>
        <v>16131.212239999999</v>
      </c>
      <c r="AL28" s="4">
        <f>AK28/80</f>
        <v>201.640153</v>
      </c>
      <c r="AM28" s="3">
        <v>635</v>
      </c>
      <c r="AN28" s="4">
        <f>C28*AM28</f>
        <v>7460.5388000000003</v>
      </c>
      <c r="AO28" s="4">
        <f>AN28/80</f>
        <v>93.256735000000006</v>
      </c>
    </row>
    <row r="29" spans="1:41" s="3" customFormat="1" ht="17" x14ac:dyDescent="0.2">
      <c r="B29" s="3" t="s">
        <v>106</v>
      </c>
      <c r="C29" s="4">
        <v>20.699580000000001</v>
      </c>
      <c r="D29" s="4" t="s">
        <v>98</v>
      </c>
      <c r="E29" s="4" t="s">
        <v>131</v>
      </c>
      <c r="F29" s="3">
        <v>0</v>
      </c>
      <c r="G29" s="4">
        <f t="shared" si="6"/>
        <v>0</v>
      </c>
      <c r="H29" s="4">
        <f>G29/40</f>
        <v>0</v>
      </c>
      <c r="I29" s="3">
        <v>0</v>
      </c>
      <c r="J29" s="4">
        <f t="shared" si="7"/>
        <v>0</v>
      </c>
      <c r="K29" s="4">
        <f>J29/40</f>
        <v>0</v>
      </c>
      <c r="L29" s="3">
        <v>0</v>
      </c>
      <c r="M29" s="4">
        <f>C29*L29</f>
        <v>0</v>
      </c>
      <c r="N29" s="4">
        <f>M29/40</f>
        <v>0</v>
      </c>
      <c r="O29" s="3">
        <v>0</v>
      </c>
      <c r="P29" s="4">
        <f>C29*O29</f>
        <v>0</v>
      </c>
      <c r="Q29" s="4">
        <f>P29/40</f>
        <v>0</v>
      </c>
      <c r="R29" s="3">
        <v>0</v>
      </c>
      <c r="S29" s="4">
        <f>C29*R29</f>
        <v>0</v>
      </c>
      <c r="T29" s="4">
        <f>S29/40</f>
        <v>0</v>
      </c>
      <c r="U29" s="3">
        <v>0</v>
      </c>
      <c r="V29" s="4">
        <f>C29*U29</f>
        <v>0</v>
      </c>
      <c r="W29" s="4">
        <f>V29/40</f>
        <v>0</v>
      </c>
      <c r="X29" s="3">
        <v>405</v>
      </c>
      <c r="Y29" s="4">
        <f>C29*X29</f>
        <v>8383.3299000000006</v>
      </c>
      <c r="Z29" s="4">
        <f>Y29/40</f>
        <v>209.58324750000003</v>
      </c>
      <c r="AA29" s="3">
        <v>589</v>
      </c>
      <c r="AB29" s="4">
        <f>C29*AA29</f>
        <v>12192.05262</v>
      </c>
      <c r="AC29" s="4">
        <f>AB29/40</f>
        <v>304.80131549999999</v>
      </c>
      <c r="AD29" s="3">
        <v>0</v>
      </c>
      <c r="AE29" s="4">
        <f>C29*AD29</f>
        <v>0</v>
      </c>
      <c r="AF29" s="4">
        <f>AE29/40</f>
        <v>0</v>
      </c>
      <c r="AG29" s="3">
        <v>0</v>
      </c>
      <c r="AH29" s="4">
        <f>C29*AG29</f>
        <v>0</v>
      </c>
      <c r="AI29" s="4">
        <f>AH29/40</f>
        <v>0</v>
      </c>
      <c r="AJ29" s="3">
        <v>0</v>
      </c>
      <c r="AK29" s="4">
        <f>C29*AJ29</f>
        <v>0</v>
      </c>
      <c r="AL29" s="4">
        <f>AK29/40</f>
        <v>0</v>
      </c>
      <c r="AM29" s="3">
        <v>0</v>
      </c>
      <c r="AN29" s="4">
        <f>C29*AM29</f>
        <v>0</v>
      </c>
      <c r="AO29" s="4">
        <f>AN29/40</f>
        <v>0</v>
      </c>
    </row>
    <row r="30" spans="1:41" s="3" customFormat="1" x14ac:dyDescent="0.2">
      <c r="A30" s="14" t="s">
        <v>50</v>
      </c>
      <c r="B30" s="14"/>
      <c r="C30" s="4"/>
      <c r="D30" s="4"/>
      <c r="E30" s="4"/>
      <c r="G30" s="4">
        <f>SUM(G23:G29)</f>
        <v>15376.746439999999</v>
      </c>
      <c r="H30" s="4">
        <f>SUM(H23:H29)</f>
        <v>266.736943</v>
      </c>
      <c r="J30" s="4">
        <f>SUM(J23:J29)</f>
        <v>38620.584640000001</v>
      </c>
      <c r="K30" s="4">
        <f>SUM(K23:K29)</f>
        <v>686.23365799999988</v>
      </c>
      <c r="M30" s="4">
        <f>SUM(M23:M29)</f>
        <v>25609.812359999996</v>
      </c>
      <c r="N30" s="4">
        <f>SUM(N23:N29)</f>
        <v>441.96731699999998</v>
      </c>
      <c r="P30" s="4">
        <f>SUM(P23:P29)</f>
        <v>45554.544199999997</v>
      </c>
      <c r="Q30" s="4">
        <f>SUM(Q23:Q29)</f>
        <v>793.01463999999987</v>
      </c>
      <c r="S30" s="4">
        <f>SUM(S23:S29)</f>
        <v>42931.693639999998</v>
      </c>
      <c r="T30" s="4">
        <f>SUM(T23:T29)</f>
        <v>746.02085799999998</v>
      </c>
      <c r="V30" s="4">
        <f>SUM(V23:V29)</f>
        <v>15564.728520000001</v>
      </c>
      <c r="W30" s="4">
        <f>SUM(W23:W29)</f>
        <v>269.08671900000002</v>
      </c>
      <c r="Y30" s="4">
        <f>SUM(Y23:Y29)</f>
        <v>22252.89143</v>
      </c>
      <c r="Z30" s="4">
        <f>SUM(Z23:Z29)</f>
        <v>414.00454810000002</v>
      </c>
      <c r="AB30" s="4">
        <f>SUM(AB23:AB29)</f>
        <v>36882.523809999999</v>
      </c>
      <c r="AC30" s="4">
        <f>SUM(AC23:AC29)</f>
        <v>692.48903863333339</v>
      </c>
      <c r="AE30" s="4">
        <f>SUM(AE23:AE29)</f>
        <v>27949.95984</v>
      </c>
      <c r="AF30" s="4">
        <f>SUM(AF23:AF29)</f>
        <v>491.32564799999994</v>
      </c>
      <c r="AH30" s="4">
        <f>SUM(AH23:AH29)</f>
        <v>36779.729800000001</v>
      </c>
      <c r="AI30" s="4">
        <f>SUM(AI23:AI29)</f>
        <v>662.01723499999991</v>
      </c>
      <c r="AK30" s="4">
        <f>SUM(AK23:AK29)</f>
        <v>44995.04724</v>
      </c>
      <c r="AL30" s="4">
        <f>SUM(AL23:AL29)</f>
        <v>778.91685299999995</v>
      </c>
      <c r="AN30" s="4">
        <f>SUM(AN23:AN29)</f>
        <v>22759.283799999997</v>
      </c>
      <c r="AO30" s="4">
        <f>SUM(AO23:AO29)</f>
        <v>399.23163499999998</v>
      </c>
    </row>
    <row r="31" spans="1:41" s="3" customFormat="1" x14ac:dyDescent="0.2">
      <c r="A31" s="14" t="s">
        <v>51</v>
      </c>
      <c r="B31" s="14"/>
      <c r="C31" s="4"/>
      <c r="D31" s="4"/>
      <c r="E31" s="4"/>
      <c r="G31" s="4"/>
      <c r="H31" s="4">
        <f>'Revenue totals'!G2</f>
        <v>18151.199999999997</v>
      </c>
      <c r="J31" s="4"/>
      <c r="K31" s="4">
        <f>'Revenue totals'!G3</f>
        <v>39327.599999999999</v>
      </c>
      <c r="M31" s="4"/>
      <c r="N31" s="4">
        <f>'Revenue totals'!G4</f>
        <v>24201.599999999999</v>
      </c>
      <c r="P31" s="4"/>
      <c r="Q31" s="4">
        <f>'Revenue totals'!G5</f>
        <v>43865.399999999994</v>
      </c>
      <c r="S31" s="4"/>
      <c r="T31" s="4">
        <f>'Revenue totals'!G6</f>
        <v>46890.6</v>
      </c>
      <c r="V31" s="4"/>
      <c r="W31" s="4">
        <f>'Revenue totals'!G7</f>
        <v>18151.199999999997</v>
      </c>
      <c r="Y31" s="4"/>
      <c r="Z31" s="4">
        <f>'Revenue totals'!G8</f>
        <v>18151.199999999997</v>
      </c>
      <c r="AB31" s="4"/>
      <c r="AC31" s="4">
        <f>'Revenue totals'!G9</f>
        <v>34789.799999999996</v>
      </c>
      <c r="AE31" s="4"/>
      <c r="AF31" s="4">
        <f>'Revenue totals'!G10</f>
        <v>28739.399999999998</v>
      </c>
      <c r="AH31" s="4"/>
      <c r="AI31" s="4">
        <f>'Revenue totals'!G11</f>
        <v>31764.6</v>
      </c>
      <c r="AK31" s="4"/>
      <c r="AL31" s="4">
        <f>'Revenue totals'!G12</f>
        <v>48403.199999999997</v>
      </c>
      <c r="AN31" s="4"/>
      <c r="AO31" s="4">
        <f>'Revenue totals'!G13</f>
        <v>28739.399999999998</v>
      </c>
    </row>
    <row r="32" spans="1:41" s="3" customFormat="1" x14ac:dyDescent="0.2">
      <c r="A32" s="14" t="s">
        <v>47</v>
      </c>
      <c r="B32" s="14"/>
      <c r="C32" s="4"/>
      <c r="D32" s="4"/>
      <c r="E32" s="4"/>
      <c r="G32" s="4"/>
      <c r="H32" s="4">
        <f>H31-H30</f>
        <v>17884.463056999997</v>
      </c>
      <c r="I32" s="4"/>
      <c r="J32" s="4"/>
      <c r="K32" s="4">
        <f t="shared" ref="K32:AO32" si="54">K31-K30</f>
        <v>38641.366342000001</v>
      </c>
      <c r="L32" s="4"/>
      <c r="M32" s="4"/>
      <c r="N32" s="4">
        <f t="shared" si="54"/>
        <v>23759.632683</v>
      </c>
      <c r="O32" s="4"/>
      <c r="P32" s="4"/>
      <c r="Q32" s="4">
        <f t="shared" si="54"/>
        <v>43072.385359999993</v>
      </c>
      <c r="R32" s="4"/>
      <c r="S32" s="4"/>
      <c r="T32" s="4">
        <f t="shared" si="54"/>
        <v>46144.579141999995</v>
      </c>
      <c r="U32" s="4"/>
      <c r="V32" s="4"/>
      <c r="W32" s="4">
        <f t="shared" si="54"/>
        <v>17882.113280999998</v>
      </c>
      <c r="X32" s="4"/>
      <c r="Y32" s="4"/>
      <c r="Z32" s="4">
        <f t="shared" si="54"/>
        <v>17737.195451899996</v>
      </c>
      <c r="AA32" s="4"/>
      <c r="AB32" s="4"/>
      <c r="AC32" s="4">
        <f t="shared" si="54"/>
        <v>34097.31096136666</v>
      </c>
      <c r="AD32" s="4"/>
      <c r="AE32" s="4"/>
      <c r="AF32" s="4">
        <f t="shared" si="54"/>
        <v>28248.074352</v>
      </c>
      <c r="AG32" s="4"/>
      <c r="AH32" s="4"/>
      <c r="AI32" s="4">
        <f t="shared" si="54"/>
        <v>31102.582764999999</v>
      </c>
      <c r="AJ32" s="4"/>
      <c r="AK32" s="4"/>
      <c r="AL32" s="4">
        <f t="shared" si="54"/>
        <v>47624.283146999995</v>
      </c>
      <c r="AM32" s="4"/>
      <c r="AN32" s="4"/>
      <c r="AO32" s="4">
        <f t="shared" si="54"/>
        <v>28340.168364999998</v>
      </c>
    </row>
    <row r="33" spans="1:41" s="3" customFormat="1" x14ac:dyDescent="0.2">
      <c r="A33" s="3" t="s">
        <v>15</v>
      </c>
      <c r="C33" s="4"/>
      <c r="G33" s="4"/>
      <c r="H33" s="4"/>
      <c r="J33" s="4"/>
      <c r="K33" s="4"/>
      <c r="M33" s="4"/>
      <c r="N33" s="4"/>
      <c r="P33" s="4"/>
      <c r="Q33" s="4"/>
      <c r="S33" s="4"/>
      <c r="T33" s="4"/>
      <c r="V33" s="4"/>
      <c r="W33" s="4"/>
      <c r="Y33" s="4"/>
      <c r="Z33" s="4"/>
      <c r="AB33" s="4"/>
      <c r="AC33" s="4"/>
      <c r="AE33" s="4"/>
      <c r="AF33" s="4"/>
      <c r="AH33" s="4"/>
      <c r="AI33" s="4"/>
      <c r="AK33" s="4"/>
      <c r="AL33" s="4"/>
      <c r="AN33" s="4"/>
    </row>
    <row r="34" spans="1:41" s="3" customFormat="1" ht="17" x14ac:dyDescent="0.2">
      <c r="B34" s="3" t="s">
        <v>16</v>
      </c>
      <c r="C34" s="4">
        <v>28.937699999999996</v>
      </c>
      <c r="D34" s="3" t="s">
        <v>99</v>
      </c>
      <c r="E34" s="3" t="s">
        <v>132</v>
      </c>
      <c r="F34" s="3">
        <v>463</v>
      </c>
      <c r="G34" s="4">
        <f t="shared" si="6"/>
        <v>13398.155099999998</v>
      </c>
      <c r="H34" s="4">
        <f>G34/75</f>
        <v>178.64206799999997</v>
      </c>
      <c r="I34" s="3">
        <v>978</v>
      </c>
      <c r="J34" s="4">
        <f t="shared" si="7"/>
        <v>28301.070599999995</v>
      </c>
      <c r="K34" s="4">
        <f>J34/75</f>
        <v>377.34760799999992</v>
      </c>
      <c r="L34" s="3">
        <v>797</v>
      </c>
      <c r="M34" s="4">
        <f>C34*L34</f>
        <v>23063.346899999997</v>
      </c>
      <c r="N34" s="4">
        <f>M34/75</f>
        <v>307.51129199999997</v>
      </c>
      <c r="O34" s="3">
        <v>1524</v>
      </c>
      <c r="P34" s="4">
        <f>C34*O34</f>
        <v>44101.054799999991</v>
      </c>
      <c r="Q34" s="4">
        <f>P34/75</f>
        <v>588.01406399999985</v>
      </c>
      <c r="R34" s="3">
        <v>1293</v>
      </c>
      <c r="S34" s="4">
        <f>C34*R34</f>
        <v>37416.446099999994</v>
      </c>
      <c r="T34" s="4">
        <f>S34/75</f>
        <v>498.88594799999993</v>
      </c>
      <c r="U34" s="3">
        <v>550</v>
      </c>
      <c r="V34" s="4">
        <f>C34*U34</f>
        <v>15915.734999999997</v>
      </c>
      <c r="W34" s="4">
        <f>V34/75</f>
        <v>212.20979999999997</v>
      </c>
      <c r="X34" s="3">
        <v>460</v>
      </c>
      <c r="Y34" s="4">
        <f>C34*X34</f>
        <v>13311.341999999999</v>
      </c>
      <c r="Z34" s="4">
        <f>Y34/75</f>
        <v>177.48455999999999</v>
      </c>
      <c r="AA34" s="3">
        <v>0</v>
      </c>
      <c r="AB34" s="4">
        <f>C34*AA34</f>
        <v>0</v>
      </c>
      <c r="AC34" s="4">
        <f>AB34/75</f>
        <v>0</v>
      </c>
      <c r="AD34" s="3">
        <v>787</v>
      </c>
      <c r="AE34" s="4">
        <f>C34*AD34</f>
        <v>22773.969899999996</v>
      </c>
      <c r="AF34" s="4">
        <f>AE34/75</f>
        <v>303.65293199999996</v>
      </c>
      <c r="AG34" s="3">
        <v>0</v>
      </c>
      <c r="AH34" s="4">
        <f>C34*AG34</f>
        <v>0</v>
      </c>
      <c r="AI34" s="4">
        <f>AH34/75</f>
        <v>0</v>
      </c>
      <c r="AJ34" s="3">
        <v>1373</v>
      </c>
      <c r="AK34" s="4">
        <f>C34*AJ34</f>
        <v>39731.462099999997</v>
      </c>
      <c r="AL34" s="4">
        <f>AK34/75</f>
        <v>529.75282799999991</v>
      </c>
      <c r="AM34" s="3">
        <v>659</v>
      </c>
      <c r="AN34" s="4">
        <f>C34*AM34</f>
        <v>19069.944299999996</v>
      </c>
      <c r="AO34" s="4">
        <f>AN34/75</f>
        <v>254.26592399999993</v>
      </c>
    </row>
    <row r="35" spans="1:41" s="3" customFormat="1" ht="17" x14ac:dyDescent="0.2">
      <c r="B35" s="3" t="s">
        <v>17</v>
      </c>
      <c r="C35" s="4">
        <v>35.281399999999998</v>
      </c>
      <c r="D35" s="3" t="s">
        <v>100</v>
      </c>
      <c r="E35" s="3" t="s">
        <v>133</v>
      </c>
      <c r="F35" s="3">
        <v>0</v>
      </c>
      <c r="G35" s="4">
        <f t="shared" si="6"/>
        <v>0</v>
      </c>
      <c r="H35" s="4">
        <f t="shared" ref="H35:H41" si="55">G35/75</f>
        <v>0</v>
      </c>
      <c r="I35" s="3">
        <v>0</v>
      </c>
      <c r="J35" s="4">
        <f t="shared" si="7"/>
        <v>0</v>
      </c>
      <c r="K35" s="4">
        <f t="shared" ref="K35:K41" si="56">J35/75</f>
        <v>0</v>
      </c>
      <c r="L35" s="3">
        <v>0</v>
      </c>
      <c r="M35" s="4">
        <f>C35*L35</f>
        <v>0</v>
      </c>
      <c r="N35" s="4">
        <f t="shared" ref="N35:N41" si="57">M35/75</f>
        <v>0</v>
      </c>
      <c r="O35" s="3">
        <v>0</v>
      </c>
      <c r="P35" s="4">
        <f>C35*O35</f>
        <v>0</v>
      </c>
      <c r="Q35" s="4">
        <f t="shared" ref="Q35:Q41" si="58">P35/75</f>
        <v>0</v>
      </c>
      <c r="R35" s="3">
        <v>0</v>
      </c>
      <c r="S35" s="4">
        <f>C35*R35</f>
        <v>0</v>
      </c>
      <c r="T35" s="4">
        <f t="shared" ref="T35:T41" si="59">S35/75</f>
        <v>0</v>
      </c>
      <c r="U35" s="3">
        <v>0</v>
      </c>
      <c r="V35" s="4">
        <f>C35*U35</f>
        <v>0</v>
      </c>
      <c r="W35" s="4">
        <f t="shared" ref="W35:W41" si="60">V35/75</f>
        <v>0</v>
      </c>
      <c r="X35" s="3">
        <v>0</v>
      </c>
      <c r="Y35" s="4">
        <f>C35*X35</f>
        <v>0</v>
      </c>
      <c r="Z35" s="4">
        <f t="shared" ref="Z35:Z41" si="61">Y35/75</f>
        <v>0</v>
      </c>
      <c r="AA35" s="3">
        <v>676</v>
      </c>
      <c r="AB35" s="4">
        <f>C35*AA35</f>
        <v>23850.2264</v>
      </c>
      <c r="AC35" s="4">
        <f t="shared" ref="AC35:AC41" si="62">AB35/75</f>
        <v>318.00301866666666</v>
      </c>
      <c r="AD35" s="3">
        <v>0</v>
      </c>
      <c r="AE35" s="4">
        <f>C35*AD35</f>
        <v>0</v>
      </c>
      <c r="AF35" s="4">
        <f t="shared" ref="AF35:AF41" si="63">AE35/75</f>
        <v>0</v>
      </c>
      <c r="AG35" s="3">
        <v>0</v>
      </c>
      <c r="AH35" s="4">
        <f>C35*AG35</f>
        <v>0</v>
      </c>
      <c r="AI35" s="4">
        <f t="shared" ref="AI35:AI41" si="64">AH35/75</f>
        <v>0</v>
      </c>
      <c r="AJ35" s="3">
        <v>0</v>
      </c>
      <c r="AK35" s="4">
        <f>C35*AJ35</f>
        <v>0</v>
      </c>
      <c r="AL35" s="4">
        <f t="shared" ref="AL35:AL41" si="65">AK35/75</f>
        <v>0</v>
      </c>
      <c r="AM35" s="3">
        <v>0</v>
      </c>
      <c r="AN35" s="4">
        <f>C35*AM35</f>
        <v>0</v>
      </c>
      <c r="AO35" s="4">
        <f t="shared" ref="AO35:AO41" si="66">AN35/75</f>
        <v>0</v>
      </c>
    </row>
    <row r="36" spans="1:41" s="3" customFormat="1" ht="17" x14ac:dyDescent="0.2">
      <c r="B36" s="3" t="s">
        <v>18</v>
      </c>
      <c r="C36" s="4">
        <v>94.286500000000004</v>
      </c>
      <c r="D36" s="3" t="s">
        <v>112</v>
      </c>
      <c r="E36" s="3" t="s">
        <v>134</v>
      </c>
      <c r="F36" s="3">
        <v>0</v>
      </c>
      <c r="G36" s="4">
        <f t="shared" si="6"/>
        <v>0</v>
      </c>
      <c r="H36" s="4">
        <f t="shared" si="55"/>
        <v>0</v>
      </c>
      <c r="I36" s="3">
        <v>0</v>
      </c>
      <c r="J36" s="4">
        <f t="shared" si="7"/>
        <v>0</v>
      </c>
      <c r="K36" s="4">
        <f t="shared" si="56"/>
        <v>0</v>
      </c>
      <c r="L36" s="3">
        <v>0</v>
      </c>
      <c r="M36" s="4">
        <f>C36*L36</f>
        <v>0</v>
      </c>
      <c r="N36" s="4">
        <f t="shared" si="57"/>
        <v>0</v>
      </c>
      <c r="O36" s="3">
        <v>0</v>
      </c>
      <c r="P36" s="4">
        <f>C36*O36</f>
        <v>0</v>
      </c>
      <c r="Q36" s="4">
        <f t="shared" si="58"/>
        <v>0</v>
      </c>
      <c r="R36" s="3">
        <v>0</v>
      </c>
      <c r="S36" s="4">
        <f>C36*R36</f>
        <v>0</v>
      </c>
      <c r="T36" s="4">
        <f t="shared" si="59"/>
        <v>0</v>
      </c>
      <c r="U36" s="3">
        <v>0</v>
      </c>
      <c r="V36" s="4">
        <f>C36*U36</f>
        <v>0</v>
      </c>
      <c r="W36" s="4">
        <f t="shared" si="60"/>
        <v>0</v>
      </c>
      <c r="X36" s="3">
        <v>0</v>
      </c>
      <c r="Y36" s="4">
        <f>C36*X36</f>
        <v>0</v>
      </c>
      <c r="Z36" s="4">
        <f t="shared" si="61"/>
        <v>0</v>
      </c>
      <c r="AA36" s="3">
        <v>0</v>
      </c>
      <c r="AB36" s="4">
        <f>C36*AA36</f>
        <v>0</v>
      </c>
      <c r="AC36" s="4">
        <f t="shared" si="62"/>
        <v>0</v>
      </c>
      <c r="AD36" s="3">
        <v>0</v>
      </c>
      <c r="AE36" s="4">
        <f>C36*AD36</f>
        <v>0</v>
      </c>
      <c r="AF36" s="4">
        <f t="shared" si="63"/>
        <v>0</v>
      </c>
      <c r="AG36" s="3">
        <v>1012</v>
      </c>
      <c r="AH36" s="4">
        <f>C36*AG36</f>
        <v>95417.938000000009</v>
      </c>
      <c r="AI36" s="4">
        <f t="shared" si="64"/>
        <v>1272.2391733333334</v>
      </c>
      <c r="AJ36" s="3">
        <v>0</v>
      </c>
      <c r="AK36" s="4">
        <f>C36*AJ36</f>
        <v>0</v>
      </c>
      <c r="AL36" s="4">
        <f t="shared" si="65"/>
        <v>0</v>
      </c>
      <c r="AM36" s="3">
        <v>0</v>
      </c>
      <c r="AN36" s="4">
        <f>C36*AM36</f>
        <v>0</v>
      </c>
      <c r="AO36" s="4">
        <f t="shared" si="66"/>
        <v>0</v>
      </c>
    </row>
    <row r="37" spans="1:41" s="3" customFormat="1" x14ac:dyDescent="0.2">
      <c r="A37" s="14" t="s">
        <v>55</v>
      </c>
      <c r="B37" s="14"/>
      <c r="C37" s="4"/>
      <c r="G37" s="4">
        <f>SUM(G34:G36)</f>
        <v>13398.155099999998</v>
      </c>
      <c r="H37" s="4">
        <f>SUM(H34:H36)</f>
        <v>178.64206799999997</v>
      </c>
      <c r="J37" s="4">
        <f>SUM(J34:J36)</f>
        <v>28301.070599999995</v>
      </c>
      <c r="K37" s="4">
        <f>SUM(K34:K36)</f>
        <v>377.34760799999992</v>
      </c>
      <c r="M37" s="4">
        <f>SUM(M34:M36)</f>
        <v>23063.346899999997</v>
      </c>
      <c r="N37" s="4">
        <f>SUM(N34:N36)</f>
        <v>307.51129199999997</v>
      </c>
      <c r="P37" s="4">
        <f>SUM(P34:P36)</f>
        <v>44101.054799999991</v>
      </c>
      <c r="Q37" s="4">
        <f>SUM(Q34:Q36)</f>
        <v>588.01406399999985</v>
      </c>
      <c r="S37" s="4">
        <f>SUM(S34:S36)</f>
        <v>37416.446099999994</v>
      </c>
      <c r="T37" s="4">
        <f>SUM(T34:T36)</f>
        <v>498.88594799999993</v>
      </c>
      <c r="V37" s="4">
        <f>SUM(V34:V36)</f>
        <v>15915.734999999997</v>
      </c>
      <c r="W37" s="4">
        <f>SUM(W34:W36)</f>
        <v>212.20979999999997</v>
      </c>
      <c r="Y37" s="4">
        <f>SUM(Y34:Y36)</f>
        <v>13311.341999999999</v>
      </c>
      <c r="Z37" s="4">
        <f>SUM(Z34:Z36)</f>
        <v>177.48455999999999</v>
      </c>
      <c r="AB37" s="4">
        <f>SUM(AB34:AB36)</f>
        <v>23850.2264</v>
      </c>
      <c r="AC37" s="4">
        <f>SUM(AC34:AC36)</f>
        <v>318.00301866666666</v>
      </c>
      <c r="AE37" s="4">
        <f>SUM(AE34:AE36)</f>
        <v>22773.969899999996</v>
      </c>
      <c r="AF37" s="4">
        <f>SUM(AF34:AF36)</f>
        <v>303.65293199999996</v>
      </c>
      <c r="AH37" s="4">
        <f>SUM(AH34:AH36)</f>
        <v>95417.938000000009</v>
      </c>
      <c r="AI37" s="4">
        <f>SUM(AI34:AI36)</f>
        <v>1272.2391733333334</v>
      </c>
      <c r="AK37" s="4">
        <f>SUM(AK34:AK36)</f>
        <v>39731.462099999997</v>
      </c>
      <c r="AL37" s="4">
        <f>SUM(AL34:AL36)</f>
        <v>529.75282799999991</v>
      </c>
      <c r="AN37" s="4">
        <f>SUM(AN34:AN36)</f>
        <v>19069.944299999996</v>
      </c>
      <c r="AO37" s="4">
        <f>SUM(AO34:AO36)</f>
        <v>254.26592399999993</v>
      </c>
    </row>
    <row r="38" spans="1:41" s="3" customFormat="1" x14ac:dyDescent="0.2">
      <c r="A38" s="14" t="s">
        <v>52</v>
      </c>
      <c r="B38" s="14"/>
      <c r="C38" s="4"/>
      <c r="G38" s="4"/>
      <c r="H38" s="4">
        <f>'Revenue totals'!H2</f>
        <v>4848</v>
      </c>
      <c r="J38" s="4"/>
      <c r="K38" s="4">
        <f>'Revenue totals'!H3</f>
        <v>10504</v>
      </c>
      <c r="M38" s="4"/>
      <c r="N38" s="4">
        <f>'Revenue totals'!H4</f>
        <v>6464</v>
      </c>
      <c r="P38" s="4"/>
      <c r="Q38" s="4">
        <f>'Revenue totals'!H5</f>
        <v>11716</v>
      </c>
      <c r="S38" s="4"/>
      <c r="T38" s="4">
        <f>'Revenue totals'!H6</f>
        <v>12524</v>
      </c>
      <c r="V38" s="4"/>
      <c r="W38" s="4">
        <f>'Revenue totals'!H7</f>
        <v>4848</v>
      </c>
      <c r="Y38" s="4"/>
      <c r="Z38" s="4">
        <f>'Revenue totals'!H8</f>
        <v>4848</v>
      </c>
      <c r="AB38" s="4"/>
      <c r="AC38" s="4">
        <f>'Revenue totals'!H9</f>
        <v>9292</v>
      </c>
      <c r="AE38" s="4"/>
      <c r="AF38" s="4">
        <f>'Revenue totals'!H10</f>
        <v>7676</v>
      </c>
      <c r="AH38" s="4"/>
      <c r="AI38" s="4">
        <f>'Revenue totals'!H11</f>
        <v>8484</v>
      </c>
      <c r="AK38" s="4"/>
      <c r="AL38" s="4">
        <f>'Revenue totals'!H12</f>
        <v>12928</v>
      </c>
      <c r="AN38" s="4"/>
      <c r="AO38" s="4">
        <f>'Revenue totals'!H13</f>
        <v>7676</v>
      </c>
    </row>
    <row r="39" spans="1:41" s="3" customFormat="1" x14ac:dyDescent="0.2">
      <c r="A39" s="14" t="s">
        <v>47</v>
      </c>
      <c r="B39" s="14"/>
      <c r="C39" s="4"/>
      <c r="G39" s="4"/>
      <c r="H39" s="4">
        <f>H38-H37</f>
        <v>4669.3579319999999</v>
      </c>
      <c r="I39" s="4"/>
      <c r="J39" s="4"/>
      <c r="K39" s="4">
        <f t="shared" ref="K39:AO39" si="67">K38-K37</f>
        <v>10126.652392</v>
      </c>
      <c r="L39" s="4"/>
      <c r="M39" s="4"/>
      <c r="N39" s="4">
        <f t="shared" si="67"/>
        <v>6156.4887079999999</v>
      </c>
      <c r="O39" s="4"/>
      <c r="P39" s="4"/>
      <c r="Q39" s="4">
        <f t="shared" si="67"/>
        <v>11127.985936000001</v>
      </c>
      <c r="R39" s="4"/>
      <c r="S39" s="4"/>
      <c r="T39" s="4">
        <f t="shared" si="67"/>
        <v>12025.114052000001</v>
      </c>
      <c r="U39" s="4"/>
      <c r="V39" s="4"/>
      <c r="W39" s="4">
        <f t="shared" si="67"/>
        <v>4635.7902000000004</v>
      </c>
      <c r="X39" s="4"/>
      <c r="Y39" s="4"/>
      <c r="Z39" s="4">
        <f t="shared" si="67"/>
        <v>4670.5154400000001</v>
      </c>
      <c r="AA39" s="4"/>
      <c r="AB39" s="4"/>
      <c r="AC39" s="4">
        <f t="shared" si="67"/>
        <v>8973.9969813333337</v>
      </c>
      <c r="AD39" s="4"/>
      <c r="AE39" s="4"/>
      <c r="AF39" s="4">
        <f t="shared" si="67"/>
        <v>7372.347068</v>
      </c>
      <c r="AG39" s="4"/>
      <c r="AH39" s="4"/>
      <c r="AI39" s="4">
        <f t="shared" si="67"/>
        <v>7211.7608266666666</v>
      </c>
      <c r="AJ39" s="4"/>
      <c r="AK39" s="4"/>
      <c r="AL39" s="4">
        <f t="shared" si="67"/>
        <v>12398.247171999999</v>
      </c>
      <c r="AM39" s="4"/>
      <c r="AN39" s="4"/>
      <c r="AO39" s="4">
        <f t="shared" si="67"/>
        <v>7421.7340759999997</v>
      </c>
    </row>
    <row r="40" spans="1:41" s="3" customFormat="1" x14ac:dyDescent="0.2">
      <c r="A40" s="3" t="s">
        <v>19</v>
      </c>
      <c r="C40" s="4"/>
      <c r="G40" s="4"/>
      <c r="H40" s="4"/>
      <c r="J40" s="4"/>
      <c r="K40" s="4"/>
      <c r="M40" s="4"/>
      <c r="N40" s="4"/>
      <c r="P40" s="4"/>
      <c r="Q40" s="4"/>
      <c r="S40" s="4"/>
      <c r="T40" s="4"/>
      <c r="V40" s="4"/>
      <c r="W40" s="4"/>
      <c r="Y40" s="4"/>
      <c r="Z40" s="4"/>
      <c r="AB40" s="4"/>
      <c r="AC40" s="4"/>
      <c r="AE40" s="4"/>
      <c r="AF40" s="4"/>
      <c r="AH40" s="4"/>
      <c r="AI40" s="4"/>
      <c r="AK40" s="4"/>
      <c r="AL40" s="4"/>
      <c r="AN40" s="4"/>
      <c r="AO40" s="4"/>
    </row>
    <row r="41" spans="1:41" s="3" customFormat="1" ht="17" x14ac:dyDescent="0.2">
      <c r="B41" s="3" t="s">
        <v>20</v>
      </c>
      <c r="C41" s="4">
        <v>23.115400000000001</v>
      </c>
      <c r="D41" s="3" t="s">
        <v>101</v>
      </c>
      <c r="E41" s="3" t="s">
        <v>135</v>
      </c>
      <c r="F41" s="3">
        <v>463</v>
      </c>
      <c r="G41" s="4">
        <f t="shared" si="6"/>
        <v>10702.430200000001</v>
      </c>
      <c r="H41" s="4">
        <f t="shared" si="55"/>
        <v>142.69906933333334</v>
      </c>
      <c r="I41" s="3">
        <v>978</v>
      </c>
      <c r="J41" s="4">
        <f t="shared" si="7"/>
        <v>22606.861199999999</v>
      </c>
      <c r="K41" s="4">
        <f t="shared" si="56"/>
        <v>301.42481599999996</v>
      </c>
      <c r="L41" s="3">
        <v>772</v>
      </c>
      <c r="M41" s="4">
        <f>C41*L41</f>
        <v>17845.088800000001</v>
      </c>
      <c r="N41" s="4">
        <f t="shared" si="57"/>
        <v>237.93451733333336</v>
      </c>
      <c r="O41" s="3">
        <v>1347</v>
      </c>
      <c r="P41" s="4">
        <f>C41*O41</f>
        <v>31136.443800000001</v>
      </c>
      <c r="Q41" s="4">
        <f t="shared" si="58"/>
        <v>415.15258399999999</v>
      </c>
      <c r="R41" s="3">
        <v>1345</v>
      </c>
      <c r="S41" s="4">
        <f>C41*R41</f>
        <v>31090.213</v>
      </c>
      <c r="T41" s="4">
        <f t="shared" si="59"/>
        <v>414.53617333333335</v>
      </c>
      <c r="U41" s="3">
        <v>763</v>
      </c>
      <c r="V41" s="4">
        <f>C41*U41</f>
        <v>17637.050200000001</v>
      </c>
      <c r="W41" s="4">
        <f t="shared" si="60"/>
        <v>235.16066933333335</v>
      </c>
      <c r="X41" s="3">
        <v>442</v>
      </c>
      <c r="Y41" s="4">
        <f>C41*X41</f>
        <v>10217.006800000001</v>
      </c>
      <c r="Z41" s="4">
        <f t="shared" si="61"/>
        <v>136.22675733333335</v>
      </c>
      <c r="AA41" s="3">
        <v>661</v>
      </c>
      <c r="AB41" s="4">
        <f>C41*AA41</f>
        <v>15279.279400000001</v>
      </c>
      <c r="AC41" s="4">
        <f t="shared" si="62"/>
        <v>203.72372533333336</v>
      </c>
      <c r="AD41" s="3">
        <v>1315</v>
      </c>
      <c r="AE41" s="4">
        <f>C41*AD41</f>
        <v>30396.751</v>
      </c>
      <c r="AF41" s="4">
        <f t="shared" si="63"/>
        <v>405.29001333333332</v>
      </c>
      <c r="AG41" s="3">
        <v>1078</v>
      </c>
      <c r="AH41" s="4">
        <f>C41*AG41</f>
        <v>24918.4012</v>
      </c>
      <c r="AI41" s="4">
        <f t="shared" si="64"/>
        <v>332.24534933333331</v>
      </c>
      <c r="AJ41" s="3">
        <v>1373</v>
      </c>
      <c r="AK41" s="4">
        <f>C41*AJ41</f>
        <v>31737.444200000002</v>
      </c>
      <c r="AL41" s="4">
        <f t="shared" si="65"/>
        <v>423.16592266666669</v>
      </c>
      <c r="AM41" s="3">
        <v>759</v>
      </c>
      <c r="AN41" s="4">
        <f>C41*AM41</f>
        <v>17544.588599999999</v>
      </c>
      <c r="AO41" s="4">
        <f t="shared" si="66"/>
        <v>233.92784799999998</v>
      </c>
    </row>
    <row r="42" spans="1:41" s="3" customFormat="1" ht="17" x14ac:dyDescent="0.2">
      <c r="B42" s="3" t="s">
        <v>41</v>
      </c>
      <c r="C42" s="4">
        <v>3649.8</v>
      </c>
      <c r="D42" s="3" t="s">
        <v>113</v>
      </c>
      <c r="E42" s="3" t="s">
        <v>136</v>
      </c>
      <c r="F42" s="3">
        <v>3</v>
      </c>
      <c r="G42" s="4">
        <f>C42*F42</f>
        <v>10949.400000000001</v>
      </c>
      <c r="H42" s="4">
        <f>G42/100</f>
        <v>109.49400000000001</v>
      </c>
      <c r="I42" s="3">
        <v>3</v>
      </c>
      <c r="J42" s="4">
        <f>C42*I42</f>
        <v>10949.400000000001</v>
      </c>
      <c r="K42" s="4">
        <f>J42/100</f>
        <v>109.49400000000001</v>
      </c>
      <c r="L42" s="3">
        <v>3</v>
      </c>
      <c r="M42" s="4">
        <f>C42*L42</f>
        <v>10949.400000000001</v>
      </c>
      <c r="N42" s="4">
        <f>M42/100</f>
        <v>109.49400000000001</v>
      </c>
      <c r="O42" s="3">
        <v>4</v>
      </c>
      <c r="P42" s="4">
        <f>C42*O42</f>
        <v>14599.2</v>
      </c>
      <c r="Q42" s="4">
        <f>P42/100</f>
        <v>145.99200000000002</v>
      </c>
      <c r="R42" s="3">
        <v>7</v>
      </c>
      <c r="S42" s="4">
        <f>C42*R42</f>
        <v>25548.600000000002</v>
      </c>
      <c r="T42" s="4">
        <f>S42/100</f>
        <v>255.48600000000002</v>
      </c>
      <c r="U42" s="3">
        <v>3</v>
      </c>
      <c r="V42" s="4">
        <f>C42*U42</f>
        <v>10949.400000000001</v>
      </c>
      <c r="W42" s="4">
        <f>V42/100</f>
        <v>109.49400000000001</v>
      </c>
      <c r="X42" s="3">
        <v>3</v>
      </c>
      <c r="Y42" s="4">
        <f>C42*X42</f>
        <v>10949.400000000001</v>
      </c>
      <c r="Z42" s="4">
        <f>Y42/100</f>
        <v>109.49400000000001</v>
      </c>
      <c r="AA42" s="3">
        <v>3</v>
      </c>
      <c r="AB42" s="4">
        <f>C42*AA42</f>
        <v>10949.400000000001</v>
      </c>
      <c r="AC42" s="4">
        <f>AB42/100</f>
        <v>109.49400000000001</v>
      </c>
      <c r="AD42" s="3">
        <v>4</v>
      </c>
      <c r="AE42" s="4">
        <f>C42*AD42</f>
        <v>14599.2</v>
      </c>
      <c r="AF42" s="4">
        <f>AE42/100</f>
        <v>145.99200000000002</v>
      </c>
      <c r="AG42" s="3">
        <v>3</v>
      </c>
      <c r="AH42" s="4">
        <f>C42*AG42</f>
        <v>10949.400000000001</v>
      </c>
      <c r="AI42" s="4">
        <f>AH42/100</f>
        <v>109.49400000000001</v>
      </c>
      <c r="AJ42" s="3">
        <v>3</v>
      </c>
      <c r="AK42" s="4">
        <f>C42*AJ42</f>
        <v>10949.400000000001</v>
      </c>
      <c r="AL42" s="4">
        <f>AK42/100</f>
        <v>109.49400000000001</v>
      </c>
      <c r="AM42" s="3">
        <v>2</v>
      </c>
      <c r="AN42" s="4">
        <f>C42*AM42</f>
        <v>7299.6</v>
      </c>
      <c r="AO42" s="4">
        <f>AN42/100</f>
        <v>72.996000000000009</v>
      </c>
    </row>
    <row r="43" spans="1:41" s="3" customFormat="1" x14ac:dyDescent="0.2">
      <c r="A43" s="14" t="s">
        <v>56</v>
      </c>
      <c r="B43" s="14"/>
      <c r="C43" s="4"/>
      <c r="G43" s="4">
        <f>SUM(G41:G42)</f>
        <v>21651.830200000004</v>
      </c>
      <c r="H43" s="4">
        <f>SUM(H41:H42)</f>
        <v>252.19306933333337</v>
      </c>
      <c r="J43" s="4">
        <f>SUM(J41:J42)</f>
        <v>33556.261200000001</v>
      </c>
      <c r="K43" s="4">
        <f>SUM(K41:K42)</f>
        <v>410.91881599999999</v>
      </c>
      <c r="M43" s="4">
        <f>SUM(M41:M42)</f>
        <v>28794.488800000003</v>
      </c>
      <c r="N43" s="4">
        <f>SUM(N41:N42)</f>
        <v>347.42851733333339</v>
      </c>
      <c r="P43" s="4">
        <f>SUM(P41:P42)</f>
        <v>45735.643800000005</v>
      </c>
      <c r="Q43" s="4">
        <f>SUM(Q41:Q42)</f>
        <v>561.14458400000001</v>
      </c>
      <c r="S43" s="4">
        <f>SUM(S41:S42)</f>
        <v>56638.813000000002</v>
      </c>
      <c r="T43" s="4">
        <f>SUM(T41:T42)</f>
        <v>670.0221733333334</v>
      </c>
      <c r="V43" s="4">
        <f>SUM(V41:V42)</f>
        <v>28586.450200000003</v>
      </c>
      <c r="W43" s="4">
        <f>SUM(W41:W42)</f>
        <v>344.65466933333335</v>
      </c>
      <c r="Y43" s="4">
        <f>SUM(Y41:Y42)</f>
        <v>21166.406800000004</v>
      </c>
      <c r="Z43" s="4">
        <f>SUM(Z41:Z42)</f>
        <v>245.72075733333338</v>
      </c>
      <c r="AB43" s="4">
        <f>SUM(AB41:AB42)</f>
        <v>26228.679400000001</v>
      </c>
      <c r="AC43" s="4">
        <f>SUM(AC41:AC42)</f>
        <v>313.21772533333336</v>
      </c>
      <c r="AE43" s="4">
        <f>SUM(AE41:AE42)</f>
        <v>44995.951000000001</v>
      </c>
      <c r="AF43" s="4">
        <f>SUM(AF41:AF42)</f>
        <v>551.28201333333334</v>
      </c>
      <c r="AH43" s="4">
        <f>SUM(AH41:AH42)</f>
        <v>35867.801200000002</v>
      </c>
      <c r="AI43" s="4">
        <f>SUM(AI41:AI42)</f>
        <v>441.73934933333334</v>
      </c>
      <c r="AK43" s="4">
        <f>SUM(AK41:AK42)</f>
        <v>42686.844200000007</v>
      </c>
      <c r="AL43" s="4">
        <f>SUM(AL41:AL42)</f>
        <v>532.65992266666672</v>
      </c>
      <c r="AN43" s="4">
        <f>SUM(AN41:AN42)</f>
        <v>24844.188600000001</v>
      </c>
      <c r="AO43" s="4">
        <f>SUM(AO41:AO42)</f>
        <v>306.92384800000002</v>
      </c>
    </row>
    <row r="44" spans="1:41" s="3" customFormat="1" x14ac:dyDescent="0.2">
      <c r="A44" s="14" t="s">
        <v>53</v>
      </c>
      <c r="B44" s="14"/>
      <c r="C44" s="4"/>
      <c r="G44" s="4"/>
      <c r="H44" s="4">
        <v>4848</v>
      </c>
      <c r="J44" s="4"/>
      <c r="K44" s="4">
        <v>10908</v>
      </c>
      <c r="M44" s="4"/>
      <c r="N44" s="4">
        <v>7272</v>
      </c>
      <c r="P44" s="4"/>
      <c r="Q44" s="4">
        <v>12928</v>
      </c>
      <c r="S44" s="4"/>
      <c r="T44" s="4">
        <v>12928</v>
      </c>
      <c r="V44" s="4"/>
      <c r="W44" s="4">
        <v>4848</v>
      </c>
      <c r="Y44" s="4"/>
      <c r="Z44" s="4">
        <v>4848</v>
      </c>
      <c r="AB44" s="4"/>
      <c r="AC44" s="4">
        <v>10504</v>
      </c>
      <c r="AE44" s="4"/>
      <c r="AF44" s="4">
        <v>7272</v>
      </c>
      <c r="AH44" s="4"/>
      <c r="AI44" s="4">
        <v>8484</v>
      </c>
      <c r="AK44" s="4"/>
      <c r="AL44" s="4">
        <v>12928</v>
      </c>
      <c r="AN44" s="4"/>
      <c r="AO44" s="4">
        <v>7676</v>
      </c>
    </row>
    <row r="45" spans="1:41" s="3" customFormat="1" x14ac:dyDescent="0.2">
      <c r="A45" s="14" t="s">
        <v>47</v>
      </c>
      <c r="B45" s="14"/>
      <c r="C45" s="4"/>
      <c r="G45" s="4"/>
      <c r="H45" s="4">
        <f>H44-H43</f>
        <v>4595.8069306666666</v>
      </c>
      <c r="I45" s="4"/>
      <c r="J45" s="4"/>
      <c r="K45" s="4">
        <f t="shared" ref="K45:AO45" si="68">K44-K43</f>
        <v>10497.081184000001</v>
      </c>
      <c r="L45" s="4"/>
      <c r="M45" s="4"/>
      <c r="N45" s="4">
        <f t="shared" si="68"/>
        <v>6924.5714826666663</v>
      </c>
      <c r="O45" s="4"/>
      <c r="P45" s="4"/>
      <c r="Q45" s="4">
        <f t="shared" si="68"/>
        <v>12366.855416</v>
      </c>
      <c r="R45" s="4"/>
      <c r="S45" s="4"/>
      <c r="T45" s="4">
        <f t="shared" si="68"/>
        <v>12257.977826666667</v>
      </c>
      <c r="U45" s="4"/>
      <c r="V45" s="4"/>
      <c r="W45" s="4">
        <f t="shared" si="68"/>
        <v>4503.345330666667</v>
      </c>
      <c r="X45" s="4"/>
      <c r="Y45" s="4"/>
      <c r="Z45" s="4">
        <f t="shared" si="68"/>
        <v>4602.2792426666665</v>
      </c>
      <c r="AA45" s="4"/>
      <c r="AB45" s="4"/>
      <c r="AC45" s="4">
        <f t="shared" si="68"/>
        <v>10190.782274666666</v>
      </c>
      <c r="AD45" s="4"/>
      <c r="AE45" s="4"/>
      <c r="AF45" s="4">
        <f t="shared" si="68"/>
        <v>6720.7179866666665</v>
      </c>
      <c r="AG45" s="4"/>
      <c r="AH45" s="4"/>
      <c r="AI45" s="4">
        <f t="shared" si="68"/>
        <v>8042.2606506666671</v>
      </c>
      <c r="AJ45" s="4"/>
      <c r="AK45" s="4"/>
      <c r="AL45" s="4">
        <f t="shared" si="68"/>
        <v>12395.340077333334</v>
      </c>
      <c r="AM45" s="4"/>
      <c r="AN45" s="4"/>
      <c r="AO45" s="4">
        <f t="shared" si="68"/>
        <v>7369.0761519999996</v>
      </c>
    </row>
    <row r="46" spans="1:41" s="3" customFormat="1" x14ac:dyDescent="0.2">
      <c r="A46" s="3" t="s">
        <v>21</v>
      </c>
      <c r="C46" s="4"/>
      <c r="G46" s="4"/>
      <c r="H46" s="4"/>
      <c r="J46" s="4"/>
      <c r="K46" s="4"/>
      <c r="M46" s="4"/>
      <c r="N46" s="4"/>
      <c r="P46" s="4"/>
      <c r="Q46" s="4"/>
      <c r="S46" s="4"/>
      <c r="T46" s="4"/>
      <c r="V46" s="4"/>
      <c r="W46" s="4"/>
      <c r="Y46" s="4"/>
      <c r="Z46" s="4"/>
      <c r="AB46" s="4"/>
      <c r="AC46" s="4"/>
      <c r="AE46" s="4"/>
      <c r="AF46" s="4"/>
      <c r="AH46" s="4"/>
      <c r="AI46" s="4"/>
      <c r="AK46" s="4"/>
      <c r="AL46" s="4"/>
      <c r="AN46" s="4"/>
      <c r="AO46" s="4"/>
    </row>
    <row r="47" spans="1:41" s="3" customFormat="1" ht="17" x14ac:dyDescent="0.2">
      <c r="B47" s="3" t="s">
        <v>22</v>
      </c>
      <c r="C47" s="4">
        <v>22.854700000000001</v>
      </c>
      <c r="D47" s="3" t="s">
        <v>114</v>
      </c>
      <c r="E47" s="3" t="s">
        <v>137</v>
      </c>
      <c r="F47" s="3">
        <v>463</v>
      </c>
      <c r="G47" s="4">
        <f t="shared" si="6"/>
        <v>10581.7261</v>
      </c>
      <c r="H47" s="4">
        <f>G47/50</f>
        <v>211.634522</v>
      </c>
      <c r="I47" s="3">
        <v>978</v>
      </c>
      <c r="J47" s="4">
        <f t="shared" si="7"/>
        <v>22351.8966</v>
      </c>
      <c r="K47" s="4">
        <f>J47/50</f>
        <v>447.03793200000001</v>
      </c>
      <c r="L47" s="3">
        <v>797</v>
      </c>
      <c r="M47" s="4">
        <f>C47*L47</f>
        <v>18215.195900000002</v>
      </c>
      <c r="N47" s="4">
        <f>M47/50</f>
        <v>364.30391800000007</v>
      </c>
      <c r="O47" s="3">
        <v>1340</v>
      </c>
      <c r="P47" s="4">
        <f>C47*O47</f>
        <v>30625.298000000003</v>
      </c>
      <c r="Q47" s="4">
        <f>P47/50</f>
        <v>612.50596000000007</v>
      </c>
      <c r="R47" s="3">
        <v>1278</v>
      </c>
      <c r="S47" s="4">
        <f>C47*R47</f>
        <v>29208.3066</v>
      </c>
      <c r="T47" s="4">
        <f>S47/50</f>
        <v>584.16613199999995</v>
      </c>
      <c r="U47" s="3">
        <v>479</v>
      </c>
      <c r="V47" s="4">
        <f>C47*U47</f>
        <v>10947.401300000001</v>
      </c>
      <c r="W47" s="4">
        <f>V47/50</f>
        <v>218.94802600000003</v>
      </c>
      <c r="X47" s="3">
        <v>405</v>
      </c>
      <c r="Y47" s="4">
        <f>C47*X47</f>
        <v>9256.1535000000003</v>
      </c>
      <c r="Z47" s="4">
        <f>Y47/50</f>
        <v>185.12307000000001</v>
      </c>
      <c r="AA47" s="3">
        <v>589</v>
      </c>
      <c r="AB47" s="4">
        <f>C47*AA47</f>
        <v>13461.418300000001</v>
      </c>
      <c r="AC47" s="4">
        <f>AB47/50</f>
        <v>269.22836600000005</v>
      </c>
      <c r="AD47" s="3">
        <v>768</v>
      </c>
      <c r="AE47" s="4">
        <f>C47*AD47</f>
        <v>17552.409599999999</v>
      </c>
      <c r="AF47" s="4">
        <f>AE47/50</f>
        <v>351.04819199999997</v>
      </c>
      <c r="AG47" s="3">
        <v>835</v>
      </c>
      <c r="AH47" s="4">
        <f>C47*AG47</f>
        <v>19083.674500000001</v>
      </c>
      <c r="AI47" s="4">
        <f>AH47/50</f>
        <v>381.67349000000002</v>
      </c>
      <c r="AJ47" s="3">
        <v>1373</v>
      </c>
      <c r="AK47" s="4">
        <f>C47*AJ47</f>
        <v>31379.503100000002</v>
      </c>
      <c r="AL47" s="4">
        <f>AK47/50</f>
        <v>627.59006199999999</v>
      </c>
      <c r="AM47" s="3">
        <v>635</v>
      </c>
      <c r="AN47" s="4">
        <f>C47*AM47</f>
        <v>14512.7345</v>
      </c>
      <c r="AO47" s="4">
        <f>AN47/50</f>
        <v>290.25468999999998</v>
      </c>
    </row>
    <row r="48" spans="1:41" s="3" customFormat="1" x14ac:dyDescent="0.2">
      <c r="A48" s="14" t="s">
        <v>57</v>
      </c>
      <c r="B48" s="14"/>
      <c r="C48" s="4"/>
      <c r="G48" s="4">
        <f>SUM(G47)</f>
        <v>10581.7261</v>
      </c>
      <c r="H48" s="4">
        <f>SUM(H47)</f>
        <v>211.634522</v>
      </c>
      <c r="J48" s="4">
        <f>SUM(J47)</f>
        <v>22351.8966</v>
      </c>
      <c r="K48" s="4">
        <f>SUM(K47)</f>
        <v>447.03793200000001</v>
      </c>
      <c r="M48" s="4">
        <f>SUM(M47)</f>
        <v>18215.195900000002</v>
      </c>
      <c r="N48" s="4">
        <f>SUM(N47)</f>
        <v>364.30391800000007</v>
      </c>
      <c r="P48" s="4">
        <f>SUM(P47)</f>
        <v>30625.298000000003</v>
      </c>
      <c r="Q48" s="4">
        <f>SUM(Q47)</f>
        <v>612.50596000000007</v>
      </c>
      <c r="S48" s="4">
        <f>SUM(S47)</f>
        <v>29208.3066</v>
      </c>
      <c r="T48" s="4">
        <f>SUM(T47)</f>
        <v>584.16613199999995</v>
      </c>
      <c r="V48" s="4">
        <f>SUM(V47)</f>
        <v>10947.401300000001</v>
      </c>
      <c r="W48" s="4">
        <f>SUM(W47)</f>
        <v>218.94802600000003</v>
      </c>
      <c r="Y48" s="4">
        <f>SUM(Y47)</f>
        <v>9256.1535000000003</v>
      </c>
      <c r="Z48" s="4">
        <f>SUM(Z47)</f>
        <v>185.12307000000001</v>
      </c>
      <c r="AB48" s="4">
        <f>SUM(AB47)</f>
        <v>13461.418300000001</v>
      </c>
      <c r="AC48" s="4">
        <f>SUM(AC47)</f>
        <v>269.22836600000005</v>
      </c>
      <c r="AE48" s="4">
        <f>SUM(AE47)</f>
        <v>17552.409599999999</v>
      </c>
      <c r="AF48" s="4">
        <f>SUM(AF47)</f>
        <v>351.04819199999997</v>
      </c>
      <c r="AH48" s="4">
        <f>SUM(AH47)</f>
        <v>19083.674500000001</v>
      </c>
      <c r="AI48" s="4">
        <f>SUM(AI47)</f>
        <v>381.67349000000002</v>
      </c>
      <c r="AK48" s="4">
        <f>SUM(AK47)</f>
        <v>31379.503100000002</v>
      </c>
      <c r="AL48" s="4">
        <f>SUM(AL47)</f>
        <v>627.59006199999999</v>
      </c>
      <c r="AN48" s="4">
        <f>SUM(AN47)</f>
        <v>14512.7345</v>
      </c>
      <c r="AO48" s="4">
        <f>SUM(AO47)</f>
        <v>290.25468999999998</v>
      </c>
    </row>
    <row r="49" spans="1:41" s="3" customFormat="1" x14ac:dyDescent="0.2">
      <c r="A49" s="14" t="s">
        <v>54</v>
      </c>
      <c r="B49" s="14"/>
      <c r="C49" s="4"/>
      <c r="G49" s="4"/>
      <c r="H49" s="4">
        <f>'Revenue totals'!J2</f>
        <v>5666.4</v>
      </c>
      <c r="J49" s="4"/>
      <c r="K49" s="4">
        <f>'Revenue totals'!J3</f>
        <v>12277.199999999999</v>
      </c>
      <c r="M49" s="4"/>
      <c r="N49" s="4">
        <f>'Revenue totals'!J4</f>
        <v>7555.2</v>
      </c>
      <c r="P49" s="4"/>
      <c r="Q49" s="4">
        <f>'Revenue totals'!J5</f>
        <v>13693.8</v>
      </c>
      <c r="S49" s="4"/>
      <c r="T49" s="4">
        <f>'Revenue totals'!J6</f>
        <v>14638.199999999999</v>
      </c>
      <c r="V49" s="4"/>
      <c r="W49" s="4">
        <f>'Revenue totals'!J7</f>
        <v>5666.4</v>
      </c>
      <c r="Y49" s="4"/>
      <c r="Z49" s="4">
        <f>'Revenue totals'!J8</f>
        <v>5666.4</v>
      </c>
      <c r="AB49" s="4"/>
      <c r="AC49" s="4">
        <f>'Revenue totals'!J9</f>
        <v>10860.6</v>
      </c>
      <c r="AE49" s="4"/>
      <c r="AF49" s="4">
        <f>'Revenue totals'!J10</f>
        <v>8971.7999999999993</v>
      </c>
      <c r="AH49" s="4"/>
      <c r="AI49" s="4">
        <f>'Revenue totals'!J11</f>
        <v>9916.1999999999989</v>
      </c>
      <c r="AK49" s="4"/>
      <c r="AL49" s="4">
        <f>'Revenue totals'!J12</f>
        <v>15110.4</v>
      </c>
      <c r="AN49" s="4"/>
      <c r="AO49" s="4">
        <f>'Revenue totals'!J13</f>
        <v>8971.7999999999993</v>
      </c>
    </row>
    <row r="50" spans="1:41" x14ac:dyDescent="0.2">
      <c r="A50" s="14" t="s">
        <v>47</v>
      </c>
      <c r="B50" s="14"/>
      <c r="G50" s="1"/>
      <c r="H50" s="1">
        <f>H49-H48</f>
        <v>5454.7654779999993</v>
      </c>
      <c r="I50" s="1"/>
      <c r="J50" s="1"/>
      <c r="K50" s="1">
        <f t="shared" ref="K50:AO50" si="69">K49-K48</f>
        <v>11830.162068</v>
      </c>
      <c r="L50" s="1"/>
      <c r="M50" s="1"/>
      <c r="N50" s="1">
        <f t="shared" si="69"/>
        <v>7190.8960819999993</v>
      </c>
      <c r="O50" s="1"/>
      <c r="P50" s="1"/>
      <c r="Q50" s="1">
        <f t="shared" si="69"/>
        <v>13081.294039999999</v>
      </c>
      <c r="R50" s="1"/>
      <c r="S50" s="1"/>
      <c r="T50" s="1">
        <f t="shared" si="69"/>
        <v>14054.033867999999</v>
      </c>
      <c r="U50" s="1"/>
      <c r="V50" s="1"/>
      <c r="W50" s="1">
        <f t="shared" si="69"/>
        <v>5447.4519739999996</v>
      </c>
      <c r="X50" s="1"/>
      <c r="Y50" s="1"/>
      <c r="Z50" s="1">
        <f t="shared" si="69"/>
        <v>5481.27693</v>
      </c>
      <c r="AA50" s="1"/>
      <c r="AB50" s="1"/>
      <c r="AC50" s="1">
        <f t="shared" si="69"/>
        <v>10591.371634000001</v>
      </c>
      <c r="AD50" s="1"/>
      <c r="AE50" s="1"/>
      <c r="AF50" s="1">
        <f t="shared" si="69"/>
        <v>8620.7518079999991</v>
      </c>
      <c r="AG50" s="1"/>
      <c r="AH50" s="1"/>
      <c r="AI50" s="1">
        <f t="shared" si="69"/>
        <v>9534.5265099999997</v>
      </c>
      <c r="AJ50" s="1"/>
      <c r="AK50" s="1"/>
      <c r="AL50" s="1">
        <f t="shared" si="69"/>
        <v>14482.809938</v>
      </c>
      <c r="AM50" s="1"/>
      <c r="AN50" s="1"/>
      <c r="AO50" s="1">
        <f t="shared" si="69"/>
        <v>8681.5453099999995</v>
      </c>
    </row>
    <row r="51" spans="1:41" ht="17" x14ac:dyDescent="0.2">
      <c r="A51" t="s">
        <v>180</v>
      </c>
    </row>
    <row r="53" spans="1:41" x14ac:dyDescent="0.2">
      <c r="A53" t="s">
        <v>183</v>
      </c>
    </row>
    <row r="54" spans="1:41" ht="17" x14ac:dyDescent="0.2">
      <c r="B54" s="3" t="s">
        <v>161</v>
      </c>
    </row>
    <row r="55" spans="1:41" ht="17" x14ac:dyDescent="0.2">
      <c r="B55" s="3" t="s">
        <v>162</v>
      </c>
    </row>
    <row r="56" spans="1:41" ht="17" x14ac:dyDescent="0.2">
      <c r="B56" s="3" t="s">
        <v>184</v>
      </c>
    </row>
    <row r="57" spans="1:41" ht="17" x14ac:dyDescent="0.2">
      <c r="B57" s="3" t="s">
        <v>163</v>
      </c>
    </row>
    <row r="58" spans="1:41" ht="17" x14ac:dyDescent="0.2">
      <c r="B58" s="3" t="s">
        <v>164</v>
      </c>
    </row>
    <row r="59" spans="1:41" ht="17" x14ac:dyDescent="0.2">
      <c r="B59" s="3" t="s">
        <v>165</v>
      </c>
    </row>
    <row r="60" spans="1:41" ht="17" x14ac:dyDescent="0.2">
      <c r="B60" s="3" t="s">
        <v>102</v>
      </c>
    </row>
    <row r="61" spans="1:41" ht="17" x14ac:dyDescent="0.2">
      <c r="B61" s="3" t="s">
        <v>170</v>
      </c>
    </row>
    <row r="62" spans="1:41" ht="17" x14ac:dyDescent="0.2">
      <c r="B62" s="3" t="s">
        <v>171</v>
      </c>
    </row>
    <row r="63" spans="1:41" ht="17" x14ac:dyDescent="0.2">
      <c r="B63" s="3" t="s">
        <v>166</v>
      </c>
    </row>
    <row r="64" spans="1:41" ht="17" x14ac:dyDescent="0.2">
      <c r="B64" s="3" t="s">
        <v>167</v>
      </c>
    </row>
    <row r="65" spans="2:2" ht="17" x14ac:dyDescent="0.2">
      <c r="B65" s="3" t="s">
        <v>168</v>
      </c>
    </row>
    <row r="66" spans="2:2" ht="17" x14ac:dyDescent="0.2">
      <c r="B66" s="3" t="s">
        <v>169</v>
      </c>
    </row>
    <row r="67" spans="2:2" ht="17" x14ac:dyDescent="0.2">
      <c r="B67" s="3" t="s">
        <v>172</v>
      </c>
    </row>
    <row r="68" spans="2:2" ht="17" x14ac:dyDescent="0.2">
      <c r="B68" s="3" t="s">
        <v>173</v>
      </c>
    </row>
    <row r="69" spans="2:2" ht="17" x14ac:dyDescent="0.2">
      <c r="B69" s="3" t="s">
        <v>174</v>
      </c>
    </row>
    <row r="70" spans="2:2" ht="17" x14ac:dyDescent="0.2">
      <c r="B70" s="3" t="s">
        <v>175</v>
      </c>
    </row>
    <row r="71" spans="2:2" ht="17" x14ac:dyDescent="0.2">
      <c r="B71" s="3" t="s">
        <v>160</v>
      </c>
    </row>
    <row r="72" spans="2:2" ht="17" x14ac:dyDescent="0.2">
      <c r="B72" s="3" t="s">
        <v>103</v>
      </c>
    </row>
    <row r="73" spans="2:2" ht="17" x14ac:dyDescent="0.2">
      <c r="B73" s="3" t="s">
        <v>182</v>
      </c>
    </row>
    <row r="74" spans="2:2" ht="17" x14ac:dyDescent="0.2">
      <c r="B74" s="3" t="s">
        <v>104</v>
      </c>
    </row>
    <row r="75" spans="2:2" ht="17" x14ac:dyDescent="0.2">
      <c r="B75" s="3" t="s">
        <v>176</v>
      </c>
    </row>
    <row r="76" spans="2:2" ht="17" x14ac:dyDescent="0.2">
      <c r="B76" s="3" t="s">
        <v>177</v>
      </c>
    </row>
    <row r="77" spans="2:2" ht="17" x14ac:dyDescent="0.2">
      <c r="B77" s="3" t="s">
        <v>178</v>
      </c>
    </row>
    <row r="78" spans="2:2" ht="17" x14ac:dyDescent="0.2">
      <c r="B78" s="3" t="s">
        <v>179</v>
      </c>
    </row>
    <row r="79" spans="2:2" ht="17" x14ac:dyDescent="0.2">
      <c r="B79" s="3" t="s">
        <v>185</v>
      </c>
    </row>
    <row r="80" spans="2:2" ht="17" x14ac:dyDescent="0.2">
      <c r="B80" s="3" t="s">
        <v>138</v>
      </c>
    </row>
    <row r="81" spans="2:2" ht="17" x14ac:dyDescent="0.2">
      <c r="B81" s="3" t="s">
        <v>139</v>
      </c>
    </row>
    <row r="82" spans="2:2" ht="17" x14ac:dyDescent="0.2">
      <c r="B82" s="3" t="s">
        <v>140</v>
      </c>
    </row>
    <row r="83" spans="2:2" ht="17" x14ac:dyDescent="0.2">
      <c r="B83" s="3" t="s">
        <v>141</v>
      </c>
    </row>
    <row r="84" spans="2:2" ht="17" x14ac:dyDescent="0.2">
      <c r="B84" s="3" t="s">
        <v>142</v>
      </c>
    </row>
    <row r="85" spans="2:2" ht="17" x14ac:dyDescent="0.2">
      <c r="B85" s="3" t="s">
        <v>143</v>
      </c>
    </row>
    <row r="86" spans="2:2" ht="17" x14ac:dyDescent="0.2">
      <c r="B86" s="3" t="s">
        <v>144</v>
      </c>
    </row>
    <row r="87" spans="2:2" ht="17" x14ac:dyDescent="0.2">
      <c r="B87" s="3" t="s">
        <v>145</v>
      </c>
    </row>
    <row r="88" spans="2:2" ht="17" x14ac:dyDescent="0.2">
      <c r="B88" s="3" t="s">
        <v>146</v>
      </c>
    </row>
    <row r="89" spans="2:2" ht="17" x14ac:dyDescent="0.2">
      <c r="B89" s="3" t="s">
        <v>147</v>
      </c>
    </row>
    <row r="90" spans="2:2" ht="17" x14ac:dyDescent="0.2">
      <c r="B90" s="3" t="s">
        <v>148</v>
      </c>
    </row>
    <row r="91" spans="2:2" ht="17" x14ac:dyDescent="0.2">
      <c r="B91" s="3" t="s">
        <v>149</v>
      </c>
    </row>
    <row r="92" spans="2:2" ht="17" x14ac:dyDescent="0.2">
      <c r="B92" s="3" t="s">
        <v>150</v>
      </c>
    </row>
    <row r="93" spans="2:2" ht="17" x14ac:dyDescent="0.2">
      <c r="B93" s="3" t="s">
        <v>151</v>
      </c>
    </row>
    <row r="94" spans="2:2" ht="17" x14ac:dyDescent="0.2">
      <c r="B94" s="4" t="s">
        <v>152</v>
      </c>
    </row>
    <row r="95" spans="2:2" ht="17" x14ac:dyDescent="0.2">
      <c r="B95" s="4" t="s">
        <v>153</v>
      </c>
    </row>
    <row r="96" spans="2:2" ht="17" x14ac:dyDescent="0.2">
      <c r="B96" s="3" t="s">
        <v>154</v>
      </c>
    </row>
    <row r="97" spans="2:2" ht="17" x14ac:dyDescent="0.2">
      <c r="B97" s="3" t="s">
        <v>155</v>
      </c>
    </row>
    <row r="98" spans="2:2" ht="17" x14ac:dyDescent="0.2">
      <c r="B98" s="3" t="s">
        <v>156</v>
      </c>
    </row>
    <row r="99" spans="2:2" ht="17" x14ac:dyDescent="0.2">
      <c r="B99" s="3" t="s">
        <v>157</v>
      </c>
    </row>
    <row r="100" spans="2:2" ht="17" x14ac:dyDescent="0.2">
      <c r="B100" s="3" t="s">
        <v>158</v>
      </c>
    </row>
    <row r="101" spans="2:2" s="2" customFormat="1" ht="17" x14ac:dyDescent="0.2">
      <c r="B101" s="11" t="s">
        <v>159</v>
      </c>
    </row>
    <row r="102" spans="2:2" ht="17" x14ac:dyDescent="0.2">
      <c r="B102" s="12" t="s">
        <v>181</v>
      </c>
    </row>
  </sheetData>
  <mergeCells count="30">
    <mergeCell ref="A44:B44"/>
    <mergeCell ref="A45:B45"/>
    <mergeCell ref="A49:B49"/>
    <mergeCell ref="A50:B50"/>
    <mergeCell ref="A43:B43"/>
    <mergeCell ref="A48:B48"/>
    <mergeCell ref="A31:B31"/>
    <mergeCell ref="A32:B32"/>
    <mergeCell ref="A38:B38"/>
    <mergeCell ref="A37:B37"/>
    <mergeCell ref="A39:B39"/>
    <mergeCell ref="A11:B11"/>
    <mergeCell ref="A19:B19"/>
    <mergeCell ref="A20:B20"/>
    <mergeCell ref="A21:B21"/>
    <mergeCell ref="A30:B30"/>
    <mergeCell ref="AG1:AI1"/>
    <mergeCell ref="AM1:AO1"/>
    <mergeCell ref="AJ1:AL1"/>
    <mergeCell ref="A9:B9"/>
    <mergeCell ref="A10:B10"/>
    <mergeCell ref="U1:W1"/>
    <mergeCell ref="X1:Z1"/>
    <mergeCell ref="AA1:AC1"/>
    <mergeCell ref="AD1:AF1"/>
    <mergeCell ref="F1:H1"/>
    <mergeCell ref="I1:K1"/>
    <mergeCell ref="L1:N1"/>
    <mergeCell ref="O1:Q1"/>
    <mergeCell ref="R1:T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E26" sqref="E26:J26"/>
    </sheetView>
  </sheetViews>
  <sheetFormatPr baseColWidth="10" defaultColWidth="8.83203125" defaultRowHeight="15" x14ac:dyDescent="0.2"/>
  <cols>
    <col min="1" max="1" width="18.1640625" style="3" customWidth="1"/>
    <col min="2" max="2" width="10.1640625" style="3" bestFit="1" customWidth="1"/>
    <col min="3" max="3" width="19.6640625" style="3" bestFit="1" customWidth="1"/>
    <col min="4" max="4" width="7.33203125" style="3" bestFit="1" customWidth="1"/>
    <col min="5" max="5" width="19.6640625" bestFit="1" customWidth="1"/>
    <col min="6" max="6" width="24" bestFit="1" customWidth="1"/>
    <col min="7" max="7" width="12" bestFit="1" customWidth="1"/>
    <col min="8" max="9" width="17.6640625" bestFit="1" customWidth="1"/>
    <col min="10" max="10" width="15.5" bestFit="1" customWidth="1"/>
  </cols>
  <sheetData>
    <row r="1" spans="1:10" x14ac:dyDescent="0.2">
      <c r="A1" s="3" t="s">
        <v>58</v>
      </c>
      <c r="B1" s="3" t="s">
        <v>82</v>
      </c>
      <c r="C1" s="3" t="s">
        <v>60</v>
      </c>
      <c r="D1" s="3" t="s">
        <v>59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72</v>
      </c>
      <c r="J1" s="3" t="s">
        <v>73</v>
      </c>
    </row>
    <row r="2" spans="1:10" x14ac:dyDescent="0.2">
      <c r="A2" s="3" t="s">
        <v>0</v>
      </c>
      <c r="B2" s="3">
        <v>0.09</v>
      </c>
      <c r="C2" s="3">
        <f>Balances!E2</f>
        <v>12</v>
      </c>
      <c r="D2" s="3">
        <v>4.1500000000000004</v>
      </c>
      <c r="E2" s="8">
        <f t="shared" ref="E2:E13" si="0">$B$16*C2</f>
        <v>638.04</v>
      </c>
      <c r="F2" s="9">
        <f t="shared" ref="F2:F13" si="1">$B$17*C2</f>
        <v>720</v>
      </c>
      <c r="G2" s="8">
        <f t="shared" ref="G2:G13" si="2">$B$18*C2</f>
        <v>18151.199999999997</v>
      </c>
      <c r="H2" s="9">
        <f t="shared" ref="H2:H13" si="3">$B$19*C2</f>
        <v>4848</v>
      </c>
      <c r="I2" s="9">
        <f t="shared" ref="I2:I13" si="4">$B$20*C2</f>
        <v>4848</v>
      </c>
      <c r="J2" s="8">
        <f t="shared" ref="J2:J13" si="5">$B$21*C2</f>
        <v>5666.4</v>
      </c>
    </row>
    <row r="3" spans="1:10" x14ac:dyDescent="0.2">
      <c r="A3" s="3" t="s">
        <v>27</v>
      </c>
      <c r="B3" s="3">
        <v>0.19</v>
      </c>
      <c r="C3" s="3">
        <f>Balances!E3</f>
        <v>26</v>
      </c>
      <c r="D3" s="3">
        <v>8.49</v>
      </c>
      <c r="E3" s="8">
        <f t="shared" si="0"/>
        <v>1382.42</v>
      </c>
      <c r="F3" s="9">
        <f t="shared" si="1"/>
        <v>1560</v>
      </c>
      <c r="G3" s="8">
        <f t="shared" si="2"/>
        <v>39327.599999999999</v>
      </c>
      <c r="H3" s="9">
        <f t="shared" si="3"/>
        <v>10504</v>
      </c>
      <c r="I3" s="9">
        <f t="shared" si="4"/>
        <v>10504</v>
      </c>
      <c r="J3" s="8">
        <f t="shared" si="5"/>
        <v>12277.199999999999</v>
      </c>
    </row>
    <row r="4" spans="1:10" x14ac:dyDescent="0.2">
      <c r="A4" s="3" t="s">
        <v>30</v>
      </c>
      <c r="B4" s="3">
        <v>0.15</v>
      </c>
      <c r="C4" s="3">
        <f>Balances!E4</f>
        <v>16</v>
      </c>
      <c r="D4" s="3">
        <v>5.3</v>
      </c>
      <c r="E4" s="8">
        <f t="shared" si="0"/>
        <v>850.72</v>
      </c>
      <c r="F4" s="9">
        <f t="shared" si="1"/>
        <v>960</v>
      </c>
      <c r="G4" s="8">
        <f t="shared" si="2"/>
        <v>24201.599999999999</v>
      </c>
      <c r="H4" s="9">
        <f t="shared" si="3"/>
        <v>6464</v>
      </c>
      <c r="I4" s="9">
        <f t="shared" si="4"/>
        <v>6464</v>
      </c>
      <c r="J4" s="8">
        <f t="shared" si="5"/>
        <v>7555.2</v>
      </c>
    </row>
    <row r="5" spans="1:10" x14ac:dyDescent="0.2">
      <c r="A5" s="3" t="s">
        <v>31</v>
      </c>
      <c r="B5" s="3">
        <v>0.26</v>
      </c>
      <c r="C5" s="3">
        <f>Balances!E5</f>
        <v>29</v>
      </c>
      <c r="D5" s="3">
        <v>12.21</v>
      </c>
      <c r="E5" s="8">
        <f t="shared" si="0"/>
        <v>1541.93</v>
      </c>
      <c r="F5" s="9">
        <f t="shared" si="1"/>
        <v>1740</v>
      </c>
      <c r="G5" s="8">
        <f t="shared" si="2"/>
        <v>43865.399999999994</v>
      </c>
      <c r="H5" s="9">
        <f t="shared" si="3"/>
        <v>11716</v>
      </c>
      <c r="I5" s="9">
        <f t="shared" si="4"/>
        <v>11716</v>
      </c>
      <c r="J5" s="8">
        <f t="shared" si="5"/>
        <v>13693.8</v>
      </c>
    </row>
    <row r="6" spans="1:10" x14ac:dyDescent="0.2">
      <c r="A6" s="3" t="s">
        <v>32</v>
      </c>
      <c r="B6" s="3">
        <v>0.25</v>
      </c>
      <c r="C6" s="3">
        <f>Balances!E6</f>
        <v>31</v>
      </c>
      <c r="D6" s="3">
        <v>9.33</v>
      </c>
      <c r="E6" s="8">
        <f t="shared" si="0"/>
        <v>1648.27</v>
      </c>
      <c r="F6" s="9">
        <f t="shared" si="1"/>
        <v>1860</v>
      </c>
      <c r="G6" s="8">
        <f t="shared" si="2"/>
        <v>46890.6</v>
      </c>
      <c r="H6" s="9">
        <f t="shared" si="3"/>
        <v>12524</v>
      </c>
      <c r="I6" s="9">
        <f t="shared" si="4"/>
        <v>12524</v>
      </c>
      <c r="J6" s="8">
        <f t="shared" si="5"/>
        <v>14638.199999999999</v>
      </c>
    </row>
    <row r="7" spans="1:10" x14ac:dyDescent="0.2">
      <c r="A7" s="3" t="s">
        <v>33</v>
      </c>
      <c r="B7" s="3">
        <v>0.1</v>
      </c>
      <c r="C7" s="3">
        <f>Balances!E7</f>
        <v>12</v>
      </c>
      <c r="D7" s="3">
        <v>4.1900000000000004</v>
      </c>
      <c r="E7" s="8">
        <f t="shared" si="0"/>
        <v>638.04</v>
      </c>
      <c r="F7" s="9">
        <f t="shared" si="1"/>
        <v>720</v>
      </c>
      <c r="G7" s="8">
        <f t="shared" si="2"/>
        <v>18151.199999999997</v>
      </c>
      <c r="H7" s="9">
        <f t="shared" si="3"/>
        <v>4848</v>
      </c>
      <c r="I7" s="9">
        <f t="shared" si="4"/>
        <v>4848</v>
      </c>
      <c r="J7" s="8">
        <f t="shared" si="5"/>
        <v>5666.4</v>
      </c>
    </row>
    <row r="8" spans="1:10" x14ac:dyDescent="0.2">
      <c r="A8" s="3" t="s">
        <v>34</v>
      </c>
      <c r="B8" s="3">
        <v>0.08</v>
      </c>
      <c r="C8" s="3">
        <f>Balances!E8</f>
        <v>12</v>
      </c>
      <c r="D8" s="3">
        <v>3.98</v>
      </c>
      <c r="E8" s="8">
        <f t="shared" si="0"/>
        <v>638.04</v>
      </c>
      <c r="F8" s="9">
        <f t="shared" si="1"/>
        <v>720</v>
      </c>
      <c r="G8" s="8">
        <f t="shared" si="2"/>
        <v>18151.199999999997</v>
      </c>
      <c r="H8" s="9">
        <f t="shared" si="3"/>
        <v>4848</v>
      </c>
      <c r="I8" s="9">
        <f t="shared" si="4"/>
        <v>4848</v>
      </c>
      <c r="J8" s="8">
        <f t="shared" si="5"/>
        <v>5666.4</v>
      </c>
    </row>
    <row r="9" spans="1:10" x14ac:dyDescent="0.2">
      <c r="A9" s="3" t="s">
        <v>35</v>
      </c>
      <c r="B9" s="3">
        <v>0.12</v>
      </c>
      <c r="C9" s="3">
        <f>Balances!E9</f>
        <v>23</v>
      </c>
      <c r="D9" s="3">
        <v>6.18</v>
      </c>
      <c r="E9" s="8">
        <f t="shared" si="0"/>
        <v>1222.9100000000001</v>
      </c>
      <c r="F9" s="9">
        <f t="shared" si="1"/>
        <v>1380</v>
      </c>
      <c r="G9" s="8">
        <f t="shared" si="2"/>
        <v>34789.799999999996</v>
      </c>
      <c r="H9" s="9">
        <f t="shared" si="3"/>
        <v>9292</v>
      </c>
      <c r="I9" s="9">
        <f t="shared" si="4"/>
        <v>9292</v>
      </c>
      <c r="J9" s="8">
        <f t="shared" si="5"/>
        <v>10860.6</v>
      </c>
    </row>
    <row r="10" spans="1:10" x14ac:dyDescent="0.2">
      <c r="A10" s="3" t="s">
        <v>36</v>
      </c>
      <c r="B10" s="3">
        <v>0.15</v>
      </c>
      <c r="C10" s="3">
        <f>Balances!E10</f>
        <v>19</v>
      </c>
      <c r="D10" s="3">
        <v>6.93</v>
      </c>
      <c r="E10" s="8">
        <f t="shared" si="0"/>
        <v>1010.23</v>
      </c>
      <c r="F10" s="9">
        <f t="shared" si="1"/>
        <v>1140</v>
      </c>
      <c r="G10" s="8">
        <f t="shared" si="2"/>
        <v>28739.399999999998</v>
      </c>
      <c r="H10" s="9">
        <f t="shared" si="3"/>
        <v>7676</v>
      </c>
      <c r="I10" s="9">
        <f t="shared" si="4"/>
        <v>7676</v>
      </c>
      <c r="J10" s="8">
        <f t="shared" si="5"/>
        <v>8971.7999999999993</v>
      </c>
    </row>
    <row r="11" spans="1:10" x14ac:dyDescent="0.2">
      <c r="A11" s="3" t="s">
        <v>37</v>
      </c>
      <c r="B11" s="3">
        <v>0.17</v>
      </c>
      <c r="C11" s="3">
        <f>Balances!E11</f>
        <v>21</v>
      </c>
      <c r="D11" s="3">
        <v>6.46</v>
      </c>
      <c r="E11" s="8">
        <f t="shared" si="0"/>
        <v>1116.57</v>
      </c>
      <c r="F11" s="9">
        <f t="shared" si="1"/>
        <v>1260</v>
      </c>
      <c r="G11" s="8">
        <f t="shared" si="2"/>
        <v>31764.6</v>
      </c>
      <c r="H11" s="9">
        <f t="shared" si="3"/>
        <v>8484</v>
      </c>
      <c r="I11" s="9">
        <f t="shared" si="4"/>
        <v>8484</v>
      </c>
      <c r="J11" s="8">
        <f t="shared" si="5"/>
        <v>9916.1999999999989</v>
      </c>
    </row>
    <row r="12" spans="1:10" x14ac:dyDescent="0.2">
      <c r="A12" s="3" t="s">
        <v>38</v>
      </c>
      <c r="B12" s="3">
        <v>0.26</v>
      </c>
      <c r="C12" s="3">
        <f>Balances!E12</f>
        <v>32</v>
      </c>
      <c r="D12" s="3">
        <v>14.92</v>
      </c>
      <c r="E12" s="8">
        <f t="shared" si="0"/>
        <v>1701.44</v>
      </c>
      <c r="F12" s="9">
        <f t="shared" si="1"/>
        <v>1920</v>
      </c>
      <c r="G12" s="8">
        <f t="shared" si="2"/>
        <v>48403.199999999997</v>
      </c>
      <c r="H12" s="9">
        <f t="shared" si="3"/>
        <v>12928</v>
      </c>
      <c r="I12" s="9">
        <f t="shared" si="4"/>
        <v>12928</v>
      </c>
      <c r="J12" s="8">
        <f t="shared" si="5"/>
        <v>15110.4</v>
      </c>
    </row>
    <row r="13" spans="1:10" x14ac:dyDescent="0.2">
      <c r="A13" s="3" t="s">
        <v>39</v>
      </c>
      <c r="B13" s="3">
        <v>0.13</v>
      </c>
      <c r="C13" s="3">
        <f>Balances!E13</f>
        <v>19</v>
      </c>
      <c r="D13" s="3">
        <v>5.7</v>
      </c>
      <c r="E13" s="8">
        <f t="shared" si="0"/>
        <v>1010.23</v>
      </c>
      <c r="F13" s="9">
        <f t="shared" si="1"/>
        <v>1140</v>
      </c>
      <c r="G13" s="8">
        <f t="shared" si="2"/>
        <v>28739.399999999998</v>
      </c>
      <c r="H13" s="9">
        <f t="shared" si="3"/>
        <v>7676</v>
      </c>
      <c r="I13" s="9">
        <f t="shared" si="4"/>
        <v>7676</v>
      </c>
      <c r="J13" s="8">
        <f t="shared" si="5"/>
        <v>8971.7999999999993</v>
      </c>
    </row>
    <row r="14" spans="1:10" x14ac:dyDescent="0.2">
      <c r="H14" s="9"/>
    </row>
    <row r="15" spans="1:10" x14ac:dyDescent="0.2">
      <c r="A15" s="7" t="s">
        <v>67</v>
      </c>
    </row>
    <row r="16" spans="1:10" x14ac:dyDescent="0.2">
      <c r="A16" s="3" t="s">
        <v>61</v>
      </c>
      <c r="B16" s="5">
        <v>53.17</v>
      </c>
    </row>
    <row r="17" spans="1:2" x14ac:dyDescent="0.2">
      <c r="A17" s="3" t="s">
        <v>62</v>
      </c>
      <c r="B17" s="6">
        <v>60</v>
      </c>
    </row>
    <row r="18" spans="1:2" x14ac:dyDescent="0.2">
      <c r="A18" s="3" t="s">
        <v>63</v>
      </c>
      <c r="B18" s="5">
        <v>1512.6</v>
      </c>
    </row>
    <row r="19" spans="1:2" x14ac:dyDescent="0.2">
      <c r="A19" s="3" t="s">
        <v>64</v>
      </c>
      <c r="B19" s="6">
        <v>404</v>
      </c>
    </row>
    <row r="20" spans="1:2" x14ac:dyDescent="0.2">
      <c r="A20" s="3" t="s">
        <v>65</v>
      </c>
      <c r="B20" s="6">
        <v>404</v>
      </c>
    </row>
    <row r="21" spans="1:2" x14ac:dyDescent="0.2">
      <c r="A21" s="3" t="s">
        <v>66</v>
      </c>
      <c r="B21" s="5">
        <v>472.2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"/>
  <sheetViews>
    <sheetView workbookViewId="0">
      <selection activeCell="E23" sqref="E23"/>
    </sheetView>
  </sheetViews>
  <sheetFormatPr baseColWidth="10" defaultColWidth="8.83203125" defaultRowHeight="15" x14ac:dyDescent="0.2"/>
  <cols>
    <col min="1" max="1" width="16" bestFit="1" customWidth="1"/>
    <col min="2" max="2" width="10.1640625" bestFit="1" customWidth="1"/>
    <col min="3" max="4" width="9.5" customWidth="1"/>
    <col min="5" max="5" width="19.6640625" bestFit="1" customWidth="1"/>
    <col min="6" max="6" width="7.33203125" bestFit="1" customWidth="1"/>
    <col min="8" max="8" width="12.6640625" bestFit="1" customWidth="1"/>
    <col min="9" max="9" width="17.1640625" customWidth="1"/>
    <col min="10" max="10" width="18.33203125" bestFit="1" customWidth="1"/>
    <col min="11" max="11" width="11" bestFit="1" customWidth="1"/>
    <col min="12" max="13" width="12.6640625" bestFit="1" customWidth="1"/>
    <col min="14" max="14" width="10.5" bestFit="1" customWidth="1"/>
  </cols>
  <sheetData>
    <row r="1" spans="1:14" x14ac:dyDescent="0.2">
      <c r="A1" s="3" t="s">
        <v>58</v>
      </c>
      <c r="B1" s="3" t="s">
        <v>82</v>
      </c>
      <c r="C1" s="3" t="s">
        <v>83</v>
      </c>
      <c r="D1" s="3" t="s">
        <v>81</v>
      </c>
      <c r="E1" s="3" t="s">
        <v>60</v>
      </c>
      <c r="F1" s="3" t="s">
        <v>59</v>
      </c>
      <c r="G1" s="3" t="s">
        <v>74</v>
      </c>
      <c r="H1" s="3" t="s">
        <v>84</v>
      </c>
      <c r="I1" s="3" t="s">
        <v>85</v>
      </c>
      <c r="J1" s="3" t="s">
        <v>75</v>
      </c>
      <c r="K1" s="3" t="s">
        <v>76</v>
      </c>
      <c r="L1" s="3" t="s">
        <v>77</v>
      </c>
      <c r="M1" s="3" t="s">
        <v>78</v>
      </c>
      <c r="N1" s="3" t="s">
        <v>79</v>
      </c>
    </row>
    <row r="2" spans="1:14" s="3" customFormat="1" x14ac:dyDescent="0.2">
      <c r="A2" s="3" t="s">
        <v>0</v>
      </c>
      <c r="B2" s="3">
        <v>0.09</v>
      </c>
      <c r="C2" s="3">
        <f>B2*5280</f>
        <v>475.2</v>
      </c>
      <c r="D2" s="3">
        <v>12</v>
      </c>
      <c r="E2" s="3">
        <v>12</v>
      </c>
      <c r="F2" s="3">
        <v>4.1500000000000004</v>
      </c>
      <c r="G2" s="3">
        <f>E2/F2</f>
        <v>2.8915662650602405</v>
      </c>
      <c r="H2" s="10">
        <f>C2*2/D2</f>
        <v>79.2</v>
      </c>
      <c r="I2" s="4">
        <f>'Infrastructure Inventory'!H11</f>
        <v>-55.98857142857139</v>
      </c>
      <c r="J2" s="4">
        <f>'Infrastructure Inventory'!H21</f>
        <v>720</v>
      </c>
      <c r="K2" s="4">
        <f>'Infrastructure Inventory'!H32</f>
        <v>17884.463056999997</v>
      </c>
      <c r="L2" s="4">
        <f>'Infrastructure Inventory'!H39</f>
        <v>4669.3579319999999</v>
      </c>
      <c r="M2" s="4">
        <f>'Infrastructure Inventory'!H45</f>
        <v>4595.8069306666666</v>
      </c>
      <c r="N2" s="4">
        <f>'Infrastructure Inventory'!H50</f>
        <v>5454.7654779999993</v>
      </c>
    </row>
    <row r="3" spans="1:14" s="3" customFormat="1" x14ac:dyDescent="0.2">
      <c r="A3" s="3" t="s">
        <v>27</v>
      </c>
      <c r="B3" s="3">
        <v>0.19</v>
      </c>
      <c r="C3" s="3">
        <f t="shared" ref="C3:C13" si="0">B3*5280</f>
        <v>1003.2</v>
      </c>
      <c r="D3" s="3">
        <v>27</v>
      </c>
      <c r="E3" s="3">
        <v>26</v>
      </c>
      <c r="F3" s="3">
        <v>8.49</v>
      </c>
      <c r="G3" s="3">
        <f t="shared" ref="G3:G13" si="1">E3/F3</f>
        <v>3.0624263839811543</v>
      </c>
      <c r="H3" s="10">
        <f t="shared" ref="H3:H13" si="2">C3*2/D3</f>
        <v>74.311111111111117</v>
      </c>
      <c r="I3" s="4">
        <f>'Infrastructure Inventory'!K11</f>
        <v>-82.751428571428505</v>
      </c>
      <c r="J3" s="4">
        <f>'Infrastructure Inventory'!K21</f>
        <v>1560</v>
      </c>
      <c r="K3" s="4">
        <f>'Infrastructure Inventory'!K32</f>
        <v>38641.366342000001</v>
      </c>
      <c r="L3" s="4">
        <f>'Infrastructure Inventory'!K39</f>
        <v>10126.652392</v>
      </c>
      <c r="M3" s="4">
        <f>'Infrastructure Inventory'!K45</f>
        <v>10497.081184000001</v>
      </c>
      <c r="N3" s="4">
        <f>'Infrastructure Inventory'!K50</f>
        <v>11830.162068</v>
      </c>
    </row>
    <row r="4" spans="1:14" s="3" customFormat="1" x14ac:dyDescent="0.2">
      <c r="A4" s="3" t="s">
        <v>30</v>
      </c>
      <c r="B4" s="3">
        <v>0.15</v>
      </c>
      <c r="C4" s="3">
        <f t="shared" si="0"/>
        <v>792</v>
      </c>
      <c r="D4" s="3">
        <v>18</v>
      </c>
      <c r="E4" s="3">
        <v>16</v>
      </c>
      <c r="F4" s="3">
        <v>5.3</v>
      </c>
      <c r="G4" s="3">
        <f t="shared" si="1"/>
        <v>3.0188679245283021</v>
      </c>
      <c r="H4" s="10">
        <f t="shared" si="2"/>
        <v>88</v>
      </c>
      <c r="I4" s="4">
        <f>'Infrastructure Inventory'!N11</f>
        <v>-305.99428571428575</v>
      </c>
      <c r="J4" s="4">
        <f>'Infrastructure Inventory'!N21</f>
        <v>960</v>
      </c>
      <c r="K4" s="4">
        <f>'Infrastructure Inventory'!N32</f>
        <v>23759.632683</v>
      </c>
      <c r="L4" s="4">
        <f>'Infrastructure Inventory'!N39</f>
        <v>6156.4887079999999</v>
      </c>
      <c r="M4" s="4">
        <f>'Infrastructure Inventory'!N45</f>
        <v>6924.5714826666663</v>
      </c>
      <c r="N4" s="4">
        <f>'Infrastructure Inventory'!N50</f>
        <v>7190.8960819999993</v>
      </c>
    </row>
    <row r="5" spans="1:14" s="3" customFormat="1" x14ac:dyDescent="0.2">
      <c r="A5" s="3" t="s">
        <v>31</v>
      </c>
      <c r="B5" s="3">
        <v>0.26</v>
      </c>
      <c r="C5" s="3">
        <f t="shared" si="0"/>
        <v>1372.8</v>
      </c>
      <c r="D5" s="3">
        <v>32</v>
      </c>
      <c r="E5" s="3">
        <v>29</v>
      </c>
      <c r="F5" s="3">
        <v>12.21</v>
      </c>
      <c r="G5" s="3">
        <f t="shared" si="1"/>
        <v>2.375102375102375</v>
      </c>
      <c r="H5" s="10">
        <f t="shared" si="2"/>
        <v>85.8</v>
      </c>
      <c r="I5" s="4">
        <f>'Infrastructure Inventory'!Q11</f>
        <v>-2400.390028571429</v>
      </c>
      <c r="J5" s="4">
        <f>'Infrastructure Inventory'!Q21</f>
        <v>1740</v>
      </c>
      <c r="K5" s="4">
        <f>'Infrastructure Inventory'!Q32</f>
        <v>43072.385359999993</v>
      </c>
      <c r="L5" s="4">
        <f>'Infrastructure Inventory'!Q39</f>
        <v>11127.985936000001</v>
      </c>
      <c r="M5" s="4">
        <f>'Infrastructure Inventory'!Q45</f>
        <v>12366.855416</v>
      </c>
      <c r="N5" s="4">
        <f>'Infrastructure Inventory'!Q50</f>
        <v>13081.294039999999</v>
      </c>
    </row>
    <row r="6" spans="1:14" s="3" customFormat="1" x14ac:dyDescent="0.2">
      <c r="A6" s="3" t="s">
        <v>32</v>
      </c>
      <c r="B6" s="3">
        <v>0.25</v>
      </c>
      <c r="C6" s="3">
        <f t="shared" si="0"/>
        <v>1320</v>
      </c>
      <c r="D6" s="3">
        <v>32</v>
      </c>
      <c r="E6" s="3">
        <v>31</v>
      </c>
      <c r="F6" s="3">
        <v>9.33</v>
      </c>
      <c r="G6" s="3">
        <f t="shared" si="1"/>
        <v>3.322615219721329</v>
      </c>
      <c r="H6" s="10">
        <f t="shared" si="2"/>
        <v>82.5</v>
      </c>
      <c r="I6" s="4">
        <f>'Infrastructure Inventory'!T11</f>
        <v>-6402.1844228571426</v>
      </c>
      <c r="J6" s="4">
        <f>'Infrastructure Inventory'!T21</f>
        <v>1223.5948020000001</v>
      </c>
      <c r="K6" s="4">
        <f>'Infrastructure Inventory'!T32</f>
        <v>46144.579141999995</v>
      </c>
      <c r="L6" s="4">
        <f>'Infrastructure Inventory'!T39</f>
        <v>12025.114052000001</v>
      </c>
      <c r="M6" s="4">
        <f>'Infrastructure Inventory'!T45</f>
        <v>12257.977826666667</v>
      </c>
      <c r="N6" s="4">
        <f>'Infrastructure Inventory'!T50</f>
        <v>14054.033867999999</v>
      </c>
    </row>
    <row r="7" spans="1:14" s="3" customFormat="1" x14ac:dyDescent="0.2">
      <c r="A7" s="3" t="s">
        <v>33</v>
      </c>
      <c r="B7" s="3">
        <v>0.1</v>
      </c>
      <c r="C7" s="3">
        <f t="shared" si="0"/>
        <v>528</v>
      </c>
      <c r="D7" s="3">
        <v>12</v>
      </c>
      <c r="E7" s="3">
        <v>12</v>
      </c>
      <c r="F7" s="3">
        <v>4.1900000000000004</v>
      </c>
      <c r="G7" s="3">
        <f t="shared" si="1"/>
        <v>2.8639618138424821</v>
      </c>
      <c r="H7" s="10">
        <f t="shared" si="2"/>
        <v>88</v>
      </c>
      <c r="I7" s="4">
        <f>'Infrastructure Inventory'!W11</f>
        <v>-980.55165714285704</v>
      </c>
      <c r="J7" s="4">
        <f>'Infrastructure Inventory'!W21</f>
        <v>216.44786959999999</v>
      </c>
      <c r="K7" s="4">
        <f>'Infrastructure Inventory'!W32</f>
        <v>17882.113280999998</v>
      </c>
      <c r="L7" s="4">
        <f>'Infrastructure Inventory'!W39</f>
        <v>4635.7902000000004</v>
      </c>
      <c r="M7" s="4">
        <f>'Infrastructure Inventory'!W45</f>
        <v>4503.345330666667</v>
      </c>
      <c r="N7" s="4">
        <f>'Infrastructure Inventory'!W50</f>
        <v>5447.4519739999996</v>
      </c>
    </row>
    <row r="8" spans="1:14" s="3" customFormat="1" x14ac:dyDescent="0.2">
      <c r="A8" s="3" t="s">
        <v>34</v>
      </c>
      <c r="B8" s="3">
        <v>0.08</v>
      </c>
      <c r="C8" s="3">
        <f t="shared" si="0"/>
        <v>422.40000000000003</v>
      </c>
      <c r="D8" s="3">
        <v>13</v>
      </c>
      <c r="E8" s="3">
        <v>12</v>
      </c>
      <c r="F8" s="3">
        <v>3.98</v>
      </c>
      <c r="G8" s="3">
        <f t="shared" si="1"/>
        <v>3.0150753768844223</v>
      </c>
      <c r="H8" s="10">
        <f t="shared" si="2"/>
        <v>64.984615384615395</v>
      </c>
      <c r="I8" s="4">
        <f>'Infrastructure Inventory'!Z11</f>
        <v>-2311.0742857142859</v>
      </c>
      <c r="J8" s="4">
        <f>'Infrastructure Inventory'!Z21</f>
        <v>-30.497250799999961</v>
      </c>
      <c r="K8" s="4">
        <f>'Infrastructure Inventory'!Z32</f>
        <v>17737.195451899996</v>
      </c>
      <c r="L8" s="4">
        <f>'Infrastructure Inventory'!Z39</f>
        <v>4670.5154400000001</v>
      </c>
      <c r="M8" s="4">
        <f>'Infrastructure Inventory'!Z45</f>
        <v>4602.2792426666665</v>
      </c>
      <c r="N8" s="4">
        <f>'Infrastructure Inventory'!Z50</f>
        <v>5481.27693</v>
      </c>
    </row>
    <row r="9" spans="1:14" s="3" customFormat="1" x14ac:dyDescent="0.2">
      <c r="A9" s="3" t="s">
        <v>35</v>
      </c>
      <c r="B9" s="3">
        <v>0.12</v>
      </c>
      <c r="C9" s="3">
        <f t="shared" si="0"/>
        <v>633.6</v>
      </c>
      <c r="D9" s="3">
        <v>26</v>
      </c>
      <c r="E9" s="3">
        <v>23</v>
      </c>
      <c r="F9" s="3">
        <v>6.18</v>
      </c>
      <c r="G9" s="3">
        <f t="shared" si="1"/>
        <v>3.7216828478964401</v>
      </c>
      <c r="H9" s="10">
        <f t="shared" si="2"/>
        <v>48.738461538461543</v>
      </c>
      <c r="I9" s="4">
        <f>'Infrastructure Inventory'!AC11</f>
        <v>-3425.1614285714286</v>
      </c>
      <c r="J9" s="4">
        <f>'Infrastructure Inventory'!AC21</f>
        <v>881.76302120000003</v>
      </c>
      <c r="K9" s="4">
        <f>'Infrastructure Inventory'!AC32</f>
        <v>34097.31096136666</v>
      </c>
      <c r="L9" s="4">
        <f>'Infrastructure Inventory'!AC39</f>
        <v>8973.9969813333337</v>
      </c>
      <c r="M9" s="4">
        <f>'Infrastructure Inventory'!AC45</f>
        <v>10190.782274666666</v>
      </c>
      <c r="N9" s="4">
        <f>'Infrastructure Inventory'!AC50</f>
        <v>10591.371634000001</v>
      </c>
    </row>
    <row r="10" spans="1:14" s="3" customFormat="1" x14ac:dyDescent="0.2">
      <c r="A10" s="3" t="s">
        <v>36</v>
      </c>
      <c r="B10" s="3">
        <v>0.15</v>
      </c>
      <c r="C10" s="3">
        <f t="shared" si="0"/>
        <v>792</v>
      </c>
      <c r="D10" s="3">
        <v>19</v>
      </c>
      <c r="E10" s="3">
        <v>19</v>
      </c>
      <c r="F10" s="3">
        <v>6.93</v>
      </c>
      <c r="G10" s="3">
        <f t="shared" si="1"/>
        <v>2.741702741702742</v>
      </c>
      <c r="H10" s="10">
        <f t="shared" si="2"/>
        <v>83.368421052631575</v>
      </c>
      <c r="I10" s="4">
        <f>'Infrastructure Inventory'!AF11</f>
        <v>-1322.2760457142854</v>
      </c>
      <c r="J10" s="4">
        <f>'Infrastructure Inventory'!AF21</f>
        <v>1140</v>
      </c>
      <c r="K10" s="4">
        <f>'Infrastructure Inventory'!AF32</f>
        <v>28248.074352</v>
      </c>
      <c r="L10" s="4">
        <f>'Infrastructure Inventory'!AF39</f>
        <v>7372.347068</v>
      </c>
      <c r="M10" s="4">
        <f>'Infrastructure Inventory'!AF45</f>
        <v>6720.7179866666665</v>
      </c>
      <c r="N10" s="4">
        <f>'Infrastructure Inventory'!AF50</f>
        <v>8620.7518079999991</v>
      </c>
    </row>
    <row r="11" spans="1:14" s="3" customFormat="1" x14ac:dyDescent="0.2">
      <c r="A11" s="3" t="s">
        <v>37</v>
      </c>
      <c r="B11" s="3">
        <v>0.17</v>
      </c>
      <c r="C11" s="3">
        <f t="shared" si="0"/>
        <v>897.6</v>
      </c>
      <c r="D11" s="3">
        <v>22</v>
      </c>
      <c r="E11" s="3">
        <v>21</v>
      </c>
      <c r="F11" s="3">
        <v>7.48</v>
      </c>
      <c r="G11" s="3">
        <f t="shared" si="1"/>
        <v>2.8074866310160425</v>
      </c>
      <c r="H11" s="10">
        <f t="shared" si="2"/>
        <v>81.600000000000009</v>
      </c>
      <c r="I11" s="4">
        <f>'Infrastructure Inventory'!AI11</f>
        <v>-4208.8534571428572</v>
      </c>
      <c r="J11" s="4">
        <f>'Infrastructure Inventory'!AI21</f>
        <v>992.65215000000001</v>
      </c>
      <c r="K11" s="4">
        <f>'Infrastructure Inventory'!AI32</f>
        <v>31102.582764999999</v>
      </c>
      <c r="L11" s="4">
        <f>'Infrastructure Inventory'!AI39</f>
        <v>7211.7608266666666</v>
      </c>
      <c r="M11" s="4">
        <f>'Infrastructure Inventory'!AI45</f>
        <v>8042.2606506666671</v>
      </c>
      <c r="N11" s="4">
        <f>'Infrastructure Inventory'!AI50</f>
        <v>9534.5265099999997</v>
      </c>
    </row>
    <row r="12" spans="1:14" s="3" customFormat="1" x14ac:dyDescent="0.2">
      <c r="A12" s="3" t="s">
        <v>38</v>
      </c>
      <c r="B12" s="3">
        <v>0.26</v>
      </c>
      <c r="C12" s="3">
        <f t="shared" si="0"/>
        <v>1372.8</v>
      </c>
      <c r="D12" s="3">
        <v>32</v>
      </c>
      <c r="E12" s="3">
        <v>32</v>
      </c>
      <c r="F12" s="3">
        <v>14.92</v>
      </c>
      <c r="G12" s="3">
        <f t="shared" si="1"/>
        <v>2.1447721179624666</v>
      </c>
      <c r="H12" s="10">
        <f t="shared" si="2"/>
        <v>85.8</v>
      </c>
      <c r="I12" s="4">
        <f>'Infrastructure Inventory'!AL11</f>
        <v>-2338.5034885714285</v>
      </c>
      <c r="J12" s="4">
        <f>'Infrastructure Inventory'!AL21</f>
        <v>1652.7877140000001</v>
      </c>
      <c r="K12" s="4">
        <f>'Infrastructure Inventory'!AL32</f>
        <v>47624.283146999995</v>
      </c>
      <c r="L12" s="4">
        <f>'Infrastructure Inventory'!AL39</f>
        <v>12398.247171999999</v>
      </c>
      <c r="M12" s="4">
        <f>'Infrastructure Inventory'!AL45</f>
        <v>12395.340077333334</v>
      </c>
      <c r="N12" s="4">
        <f>'Infrastructure Inventory'!AL50</f>
        <v>14482.809938</v>
      </c>
    </row>
    <row r="13" spans="1:14" s="3" customFormat="1" x14ac:dyDescent="0.2">
      <c r="A13" s="3" t="s">
        <v>39</v>
      </c>
      <c r="B13" s="3">
        <v>0.13</v>
      </c>
      <c r="C13" s="3">
        <f t="shared" si="0"/>
        <v>686.4</v>
      </c>
      <c r="D13" s="3">
        <v>19</v>
      </c>
      <c r="E13" s="3">
        <v>19</v>
      </c>
      <c r="F13" s="3">
        <v>5.7</v>
      </c>
      <c r="G13" s="3">
        <f t="shared" si="1"/>
        <v>3.333333333333333</v>
      </c>
      <c r="H13" s="10">
        <f t="shared" si="2"/>
        <v>72.252631578947373</v>
      </c>
      <c r="I13" s="4">
        <f>'Infrastructure Inventory'!AO11</f>
        <v>-3305.6315342857147</v>
      </c>
      <c r="J13" s="4">
        <f>'Infrastructure Inventory'!AO21</f>
        <v>816.23458440000002</v>
      </c>
      <c r="K13" s="4">
        <f>'Infrastructure Inventory'!AO32</f>
        <v>28340.168364999998</v>
      </c>
      <c r="L13" s="4">
        <f>'Infrastructure Inventory'!AO39</f>
        <v>7421.7340759999997</v>
      </c>
      <c r="M13" s="4">
        <f>'Infrastructure Inventory'!AO45</f>
        <v>7369.0761519999996</v>
      </c>
      <c r="N13" s="4">
        <f>'Infrastructure Inventory'!AO50</f>
        <v>8681.5453099999995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Infrastructure Inventory</vt:lpstr>
      <vt:lpstr>Revenue totals</vt:lpstr>
      <vt:lpstr>Balances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Shane</dc:creator>
  <cp:lastModifiedBy>John Pattison</cp:lastModifiedBy>
  <dcterms:created xsi:type="dcterms:W3CDTF">2020-05-20T19:56:18Z</dcterms:created>
  <dcterms:modified xsi:type="dcterms:W3CDTF">2020-08-11T03:56:51Z</dcterms:modified>
</cp:coreProperties>
</file>